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CB18905-5DA4-48F4-ADB4-BCC0EA389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ходы" sheetId="1" r:id="rId1"/>
    <sheet name="Клиент" sheetId="2" r:id="rId2"/>
    <sheet name="Проект" sheetId="3" r:id="rId3"/>
    <sheet name="Сценарии" sheetId="4" r:id="rId4"/>
    <sheet name="Этапы" sheetId="5" r:id="rId5"/>
    <sheet name="Помесячно" sheetId="6" r:id="rId6"/>
    <sheet name="Чувствительность" sheetId="7" r:id="rId7"/>
  </sheets>
  <definedNames>
    <definedName name="_xlnm._FilterDatabase" localSheetId="0" hidden="1">Входы!$A$4:$F$154</definedName>
    <definedName name="_xlnm._FilterDatabase" localSheetId="1" hidden="1">Клиент!$A$4:$U$7</definedName>
    <definedName name="_xlnm._FilterDatabase" localSheetId="5" hidden="1">Помесячно!$A$4:$AG$196</definedName>
    <definedName name="_xlnm._FilterDatabase" localSheetId="3" hidden="1">Сценарии!$A$4:$I$7</definedName>
    <definedName name="_xlnm._FilterDatabase" localSheetId="6" hidden="1">Чувствительность!$A$4:$K$409</definedName>
    <definedName name="_xlnm._FilterDatabase" localSheetId="4" hidden="1">Этапы!$A$4:$AA$8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9" i="7" l="1"/>
  <c r="G409" i="7"/>
  <c r="A409" i="7"/>
  <c r="F409" i="7" s="1"/>
  <c r="I409" i="7" s="1"/>
  <c r="J409" i="7" s="1"/>
  <c r="K409" i="7" s="1"/>
  <c r="H408" i="7"/>
  <c r="G408" i="7"/>
  <c r="A408" i="7"/>
  <c r="F408" i="7" s="1"/>
  <c r="I408" i="7" s="1"/>
  <c r="J408" i="7" s="1"/>
  <c r="K408" i="7" s="1"/>
  <c r="H407" i="7"/>
  <c r="G407" i="7"/>
  <c r="A407" i="7"/>
  <c r="F407" i="7" s="1"/>
  <c r="I407" i="7" s="1"/>
  <c r="J407" i="7" s="1"/>
  <c r="K407" i="7" s="1"/>
  <c r="H406" i="7"/>
  <c r="G406" i="7"/>
  <c r="A406" i="7"/>
  <c r="F406" i="7" s="1"/>
  <c r="I406" i="7" s="1"/>
  <c r="J406" i="7" s="1"/>
  <c r="K406" i="7" s="1"/>
  <c r="H405" i="7"/>
  <c r="G405" i="7"/>
  <c r="A405" i="7"/>
  <c r="F405" i="7" s="1"/>
  <c r="I405" i="7" s="1"/>
  <c r="J405" i="7" s="1"/>
  <c r="K405" i="7" s="1"/>
  <c r="H404" i="7"/>
  <c r="G404" i="7"/>
  <c r="A404" i="7"/>
  <c r="F404" i="7" s="1"/>
  <c r="I404" i="7" s="1"/>
  <c r="J404" i="7" s="1"/>
  <c r="K404" i="7" s="1"/>
  <c r="H403" i="7"/>
  <c r="G403" i="7"/>
  <c r="A403" i="7"/>
  <c r="F403" i="7" s="1"/>
  <c r="I403" i="7" s="1"/>
  <c r="J403" i="7" s="1"/>
  <c r="K403" i="7" s="1"/>
  <c r="H402" i="7"/>
  <c r="G402" i="7"/>
  <c r="A402" i="7"/>
  <c r="F402" i="7" s="1"/>
  <c r="I402" i="7" s="1"/>
  <c r="J402" i="7" s="1"/>
  <c r="K402" i="7" s="1"/>
  <c r="H401" i="7"/>
  <c r="G401" i="7"/>
  <c r="A401" i="7"/>
  <c r="F401" i="7" s="1"/>
  <c r="I401" i="7" s="1"/>
  <c r="J401" i="7" s="1"/>
  <c r="K401" i="7" s="1"/>
  <c r="H400" i="7"/>
  <c r="G400" i="7"/>
  <c r="A400" i="7"/>
  <c r="F400" i="7" s="1"/>
  <c r="I400" i="7" s="1"/>
  <c r="J400" i="7" s="1"/>
  <c r="K400" i="7" s="1"/>
  <c r="H399" i="7"/>
  <c r="G399" i="7"/>
  <c r="A399" i="7"/>
  <c r="F399" i="7" s="1"/>
  <c r="I399" i="7" s="1"/>
  <c r="J399" i="7" s="1"/>
  <c r="K399" i="7" s="1"/>
  <c r="H398" i="7"/>
  <c r="G398" i="7"/>
  <c r="A398" i="7"/>
  <c r="F398" i="7" s="1"/>
  <c r="I398" i="7" s="1"/>
  <c r="J398" i="7" s="1"/>
  <c r="K398" i="7" s="1"/>
  <c r="H397" i="7"/>
  <c r="G397" i="7"/>
  <c r="A397" i="7"/>
  <c r="F397" i="7" s="1"/>
  <c r="I397" i="7" s="1"/>
  <c r="J397" i="7" s="1"/>
  <c r="K397" i="7" s="1"/>
  <c r="H396" i="7"/>
  <c r="G396" i="7"/>
  <c r="A396" i="7"/>
  <c r="F396" i="7" s="1"/>
  <c r="I396" i="7" s="1"/>
  <c r="J396" i="7" s="1"/>
  <c r="K396" i="7" s="1"/>
  <c r="H395" i="7"/>
  <c r="G395" i="7"/>
  <c r="A395" i="7"/>
  <c r="F395" i="7" s="1"/>
  <c r="I395" i="7" s="1"/>
  <c r="J395" i="7" s="1"/>
  <c r="K395" i="7" s="1"/>
  <c r="H394" i="7"/>
  <c r="G394" i="7"/>
  <c r="A394" i="7"/>
  <c r="F394" i="7" s="1"/>
  <c r="I394" i="7" s="1"/>
  <c r="J394" i="7" s="1"/>
  <c r="K394" i="7" s="1"/>
  <c r="H393" i="7"/>
  <c r="G393" i="7"/>
  <c r="A393" i="7"/>
  <c r="F393" i="7" s="1"/>
  <c r="I393" i="7" s="1"/>
  <c r="J393" i="7" s="1"/>
  <c r="K393" i="7" s="1"/>
  <c r="H392" i="7"/>
  <c r="G392" i="7"/>
  <c r="A392" i="7"/>
  <c r="F392" i="7" s="1"/>
  <c r="I392" i="7" s="1"/>
  <c r="J392" i="7" s="1"/>
  <c r="K392" i="7" s="1"/>
  <c r="H391" i="7"/>
  <c r="G391" i="7"/>
  <c r="A391" i="7"/>
  <c r="F391" i="7" s="1"/>
  <c r="I391" i="7" s="1"/>
  <c r="J391" i="7" s="1"/>
  <c r="K391" i="7" s="1"/>
  <c r="H390" i="7"/>
  <c r="G390" i="7"/>
  <c r="A390" i="7"/>
  <c r="F390" i="7" s="1"/>
  <c r="I390" i="7" s="1"/>
  <c r="J390" i="7" s="1"/>
  <c r="K390" i="7" s="1"/>
  <c r="H389" i="7"/>
  <c r="G389" i="7"/>
  <c r="A389" i="7"/>
  <c r="F389" i="7" s="1"/>
  <c r="I389" i="7" s="1"/>
  <c r="J389" i="7" s="1"/>
  <c r="K389" i="7" s="1"/>
  <c r="H388" i="7"/>
  <c r="G388" i="7"/>
  <c r="A388" i="7"/>
  <c r="F388" i="7" s="1"/>
  <c r="I388" i="7" s="1"/>
  <c r="J388" i="7" s="1"/>
  <c r="K388" i="7" s="1"/>
  <c r="H387" i="7"/>
  <c r="G387" i="7"/>
  <c r="A387" i="7"/>
  <c r="F387" i="7" s="1"/>
  <c r="I387" i="7" s="1"/>
  <c r="J387" i="7" s="1"/>
  <c r="K387" i="7" s="1"/>
  <c r="H386" i="7"/>
  <c r="G386" i="7"/>
  <c r="A386" i="7"/>
  <c r="F386" i="7" s="1"/>
  <c r="I386" i="7" s="1"/>
  <c r="J386" i="7" s="1"/>
  <c r="K386" i="7" s="1"/>
  <c r="H385" i="7"/>
  <c r="G385" i="7"/>
  <c r="A385" i="7"/>
  <c r="F385" i="7" s="1"/>
  <c r="I385" i="7" s="1"/>
  <c r="J385" i="7" s="1"/>
  <c r="K385" i="7" s="1"/>
  <c r="H384" i="7"/>
  <c r="G384" i="7"/>
  <c r="A384" i="7"/>
  <c r="F384" i="7" s="1"/>
  <c r="I384" i="7" s="1"/>
  <c r="J384" i="7" s="1"/>
  <c r="K384" i="7" s="1"/>
  <c r="H383" i="7"/>
  <c r="G383" i="7"/>
  <c r="A383" i="7"/>
  <c r="F383" i="7" s="1"/>
  <c r="I383" i="7" s="1"/>
  <c r="J383" i="7" s="1"/>
  <c r="K383" i="7" s="1"/>
  <c r="H382" i="7"/>
  <c r="G382" i="7"/>
  <c r="A382" i="7"/>
  <c r="F382" i="7" s="1"/>
  <c r="I382" i="7" s="1"/>
  <c r="J382" i="7" s="1"/>
  <c r="K382" i="7" s="1"/>
  <c r="H381" i="7"/>
  <c r="G381" i="7"/>
  <c r="A381" i="7"/>
  <c r="F381" i="7" s="1"/>
  <c r="I381" i="7" s="1"/>
  <c r="J381" i="7" s="1"/>
  <c r="K381" i="7" s="1"/>
  <c r="H380" i="7"/>
  <c r="G380" i="7"/>
  <c r="A380" i="7"/>
  <c r="F380" i="7" s="1"/>
  <c r="I380" i="7" s="1"/>
  <c r="J380" i="7" s="1"/>
  <c r="K380" i="7" s="1"/>
  <c r="H379" i="7"/>
  <c r="G379" i="7"/>
  <c r="A379" i="7"/>
  <c r="F379" i="7" s="1"/>
  <c r="I379" i="7" s="1"/>
  <c r="J379" i="7" s="1"/>
  <c r="K379" i="7" s="1"/>
  <c r="H378" i="7"/>
  <c r="G378" i="7"/>
  <c r="A378" i="7"/>
  <c r="F378" i="7" s="1"/>
  <c r="I378" i="7" s="1"/>
  <c r="J378" i="7" s="1"/>
  <c r="K378" i="7" s="1"/>
  <c r="H377" i="7"/>
  <c r="G377" i="7"/>
  <c r="A377" i="7"/>
  <c r="F377" i="7" s="1"/>
  <c r="I377" i="7" s="1"/>
  <c r="J377" i="7" s="1"/>
  <c r="K377" i="7" s="1"/>
  <c r="H376" i="7"/>
  <c r="G376" i="7"/>
  <c r="A376" i="7"/>
  <c r="F376" i="7" s="1"/>
  <c r="I376" i="7" s="1"/>
  <c r="J376" i="7" s="1"/>
  <c r="K376" i="7" s="1"/>
  <c r="H375" i="7"/>
  <c r="G375" i="7"/>
  <c r="A375" i="7"/>
  <c r="F375" i="7" s="1"/>
  <c r="I375" i="7" s="1"/>
  <c r="J375" i="7" s="1"/>
  <c r="K375" i="7" s="1"/>
  <c r="H374" i="7"/>
  <c r="G374" i="7"/>
  <c r="A374" i="7"/>
  <c r="F374" i="7" s="1"/>
  <c r="I374" i="7" s="1"/>
  <c r="J374" i="7" s="1"/>
  <c r="K374" i="7" s="1"/>
  <c r="H373" i="7"/>
  <c r="G373" i="7"/>
  <c r="A373" i="7"/>
  <c r="F373" i="7" s="1"/>
  <c r="I373" i="7" s="1"/>
  <c r="J373" i="7" s="1"/>
  <c r="K373" i="7" s="1"/>
  <c r="H372" i="7"/>
  <c r="G372" i="7"/>
  <c r="A372" i="7"/>
  <c r="F372" i="7" s="1"/>
  <c r="I372" i="7" s="1"/>
  <c r="J372" i="7" s="1"/>
  <c r="K372" i="7" s="1"/>
  <c r="H371" i="7"/>
  <c r="G371" i="7"/>
  <c r="A371" i="7"/>
  <c r="F371" i="7" s="1"/>
  <c r="I371" i="7" s="1"/>
  <c r="J371" i="7" s="1"/>
  <c r="K371" i="7" s="1"/>
  <c r="H370" i="7"/>
  <c r="G370" i="7"/>
  <c r="A370" i="7"/>
  <c r="F370" i="7" s="1"/>
  <c r="I370" i="7" s="1"/>
  <c r="J370" i="7" s="1"/>
  <c r="K370" i="7" s="1"/>
  <c r="H369" i="7"/>
  <c r="G369" i="7"/>
  <c r="A369" i="7"/>
  <c r="F369" i="7" s="1"/>
  <c r="I369" i="7" s="1"/>
  <c r="J369" i="7" s="1"/>
  <c r="K369" i="7" s="1"/>
  <c r="H368" i="7"/>
  <c r="G368" i="7"/>
  <c r="A368" i="7"/>
  <c r="F368" i="7" s="1"/>
  <c r="I368" i="7" s="1"/>
  <c r="J368" i="7" s="1"/>
  <c r="K368" i="7" s="1"/>
  <c r="H367" i="7"/>
  <c r="G367" i="7"/>
  <c r="A367" i="7"/>
  <c r="F367" i="7" s="1"/>
  <c r="I367" i="7" s="1"/>
  <c r="J367" i="7" s="1"/>
  <c r="K367" i="7" s="1"/>
  <c r="H366" i="7"/>
  <c r="G366" i="7"/>
  <c r="A366" i="7"/>
  <c r="F366" i="7" s="1"/>
  <c r="I366" i="7" s="1"/>
  <c r="J366" i="7" s="1"/>
  <c r="K366" i="7" s="1"/>
  <c r="H365" i="7"/>
  <c r="G365" i="7"/>
  <c r="A365" i="7"/>
  <c r="F365" i="7" s="1"/>
  <c r="I365" i="7" s="1"/>
  <c r="J365" i="7" s="1"/>
  <c r="K365" i="7" s="1"/>
  <c r="H364" i="7"/>
  <c r="G364" i="7"/>
  <c r="A364" i="7"/>
  <c r="F364" i="7" s="1"/>
  <c r="I364" i="7" s="1"/>
  <c r="J364" i="7" s="1"/>
  <c r="K364" i="7" s="1"/>
  <c r="H363" i="7"/>
  <c r="G363" i="7"/>
  <c r="A363" i="7"/>
  <c r="F363" i="7" s="1"/>
  <c r="I363" i="7" s="1"/>
  <c r="J363" i="7" s="1"/>
  <c r="K363" i="7" s="1"/>
  <c r="H362" i="7"/>
  <c r="G362" i="7"/>
  <c r="A362" i="7"/>
  <c r="F362" i="7" s="1"/>
  <c r="I362" i="7" s="1"/>
  <c r="J362" i="7" s="1"/>
  <c r="K362" i="7" s="1"/>
  <c r="H361" i="7"/>
  <c r="G361" i="7"/>
  <c r="A361" i="7"/>
  <c r="F361" i="7" s="1"/>
  <c r="I361" i="7" s="1"/>
  <c r="J361" i="7" s="1"/>
  <c r="K361" i="7" s="1"/>
  <c r="H360" i="7"/>
  <c r="G360" i="7"/>
  <c r="A360" i="7"/>
  <c r="F360" i="7" s="1"/>
  <c r="I360" i="7" s="1"/>
  <c r="J360" i="7" s="1"/>
  <c r="K360" i="7" s="1"/>
  <c r="H359" i="7"/>
  <c r="G359" i="7"/>
  <c r="A359" i="7"/>
  <c r="F359" i="7" s="1"/>
  <c r="I359" i="7" s="1"/>
  <c r="J359" i="7" s="1"/>
  <c r="K359" i="7" s="1"/>
  <c r="H358" i="7"/>
  <c r="G358" i="7"/>
  <c r="A358" i="7"/>
  <c r="F358" i="7" s="1"/>
  <c r="I358" i="7" s="1"/>
  <c r="J358" i="7" s="1"/>
  <c r="K358" i="7" s="1"/>
  <c r="H357" i="7"/>
  <c r="G357" i="7"/>
  <c r="A357" i="7"/>
  <c r="F357" i="7" s="1"/>
  <c r="I357" i="7" s="1"/>
  <c r="J357" i="7" s="1"/>
  <c r="K357" i="7" s="1"/>
  <c r="H356" i="7"/>
  <c r="G356" i="7"/>
  <c r="A356" i="7"/>
  <c r="F356" i="7" s="1"/>
  <c r="I356" i="7" s="1"/>
  <c r="J356" i="7" s="1"/>
  <c r="K356" i="7" s="1"/>
  <c r="H355" i="7"/>
  <c r="G355" i="7"/>
  <c r="A355" i="7"/>
  <c r="F355" i="7" s="1"/>
  <c r="I355" i="7" s="1"/>
  <c r="J355" i="7" s="1"/>
  <c r="K355" i="7" s="1"/>
  <c r="H354" i="7"/>
  <c r="G354" i="7"/>
  <c r="A354" i="7"/>
  <c r="F354" i="7" s="1"/>
  <c r="I354" i="7" s="1"/>
  <c r="J354" i="7" s="1"/>
  <c r="K354" i="7" s="1"/>
  <c r="H353" i="7"/>
  <c r="G353" i="7"/>
  <c r="A353" i="7"/>
  <c r="F353" i="7" s="1"/>
  <c r="I353" i="7" s="1"/>
  <c r="J353" i="7" s="1"/>
  <c r="K353" i="7" s="1"/>
  <c r="H352" i="7"/>
  <c r="G352" i="7"/>
  <c r="A352" i="7"/>
  <c r="F352" i="7" s="1"/>
  <c r="I352" i="7" s="1"/>
  <c r="J352" i="7" s="1"/>
  <c r="K352" i="7" s="1"/>
  <c r="H351" i="7"/>
  <c r="G351" i="7"/>
  <c r="A351" i="7"/>
  <c r="F351" i="7" s="1"/>
  <c r="I351" i="7" s="1"/>
  <c r="J351" i="7" s="1"/>
  <c r="K351" i="7" s="1"/>
  <c r="H350" i="7"/>
  <c r="G350" i="7"/>
  <c r="A350" i="7"/>
  <c r="F350" i="7" s="1"/>
  <c r="I350" i="7" s="1"/>
  <c r="J350" i="7" s="1"/>
  <c r="K350" i="7" s="1"/>
  <c r="H349" i="7"/>
  <c r="G349" i="7"/>
  <c r="A349" i="7"/>
  <c r="F349" i="7" s="1"/>
  <c r="I349" i="7" s="1"/>
  <c r="J349" i="7" s="1"/>
  <c r="K349" i="7" s="1"/>
  <c r="H348" i="7"/>
  <c r="G348" i="7"/>
  <c r="A348" i="7"/>
  <c r="F348" i="7" s="1"/>
  <c r="I348" i="7" s="1"/>
  <c r="J348" i="7" s="1"/>
  <c r="K348" i="7" s="1"/>
  <c r="H347" i="7"/>
  <c r="G347" i="7"/>
  <c r="A347" i="7"/>
  <c r="F347" i="7" s="1"/>
  <c r="I347" i="7" s="1"/>
  <c r="J347" i="7" s="1"/>
  <c r="K347" i="7" s="1"/>
  <c r="H346" i="7"/>
  <c r="G346" i="7"/>
  <c r="A346" i="7"/>
  <c r="F346" i="7" s="1"/>
  <c r="I346" i="7" s="1"/>
  <c r="J346" i="7" s="1"/>
  <c r="K346" i="7" s="1"/>
  <c r="H345" i="7"/>
  <c r="G345" i="7"/>
  <c r="A345" i="7"/>
  <c r="F345" i="7" s="1"/>
  <c r="I345" i="7" s="1"/>
  <c r="J345" i="7" s="1"/>
  <c r="K345" i="7" s="1"/>
  <c r="H344" i="7"/>
  <c r="G344" i="7"/>
  <c r="A344" i="7"/>
  <c r="F344" i="7" s="1"/>
  <c r="I344" i="7" s="1"/>
  <c r="J344" i="7" s="1"/>
  <c r="K344" i="7" s="1"/>
  <c r="H343" i="7"/>
  <c r="G343" i="7"/>
  <c r="A343" i="7"/>
  <c r="F343" i="7" s="1"/>
  <c r="I343" i="7" s="1"/>
  <c r="J343" i="7" s="1"/>
  <c r="K343" i="7" s="1"/>
  <c r="H342" i="7"/>
  <c r="G342" i="7"/>
  <c r="A342" i="7"/>
  <c r="F342" i="7" s="1"/>
  <c r="I342" i="7" s="1"/>
  <c r="J342" i="7" s="1"/>
  <c r="K342" i="7" s="1"/>
  <c r="H341" i="7"/>
  <c r="G341" i="7"/>
  <c r="A341" i="7"/>
  <c r="F341" i="7" s="1"/>
  <c r="I341" i="7" s="1"/>
  <c r="J341" i="7" s="1"/>
  <c r="K341" i="7" s="1"/>
  <c r="H340" i="7"/>
  <c r="G340" i="7"/>
  <c r="A340" i="7"/>
  <c r="F340" i="7" s="1"/>
  <c r="I340" i="7" s="1"/>
  <c r="J340" i="7" s="1"/>
  <c r="K340" i="7" s="1"/>
  <c r="H339" i="7"/>
  <c r="G339" i="7"/>
  <c r="A339" i="7"/>
  <c r="F339" i="7" s="1"/>
  <c r="I339" i="7" s="1"/>
  <c r="J339" i="7" s="1"/>
  <c r="K339" i="7" s="1"/>
  <c r="H338" i="7"/>
  <c r="G338" i="7"/>
  <c r="A338" i="7"/>
  <c r="F338" i="7" s="1"/>
  <c r="I338" i="7" s="1"/>
  <c r="J338" i="7" s="1"/>
  <c r="K338" i="7" s="1"/>
  <c r="H337" i="7"/>
  <c r="G337" i="7"/>
  <c r="A337" i="7"/>
  <c r="F337" i="7" s="1"/>
  <c r="I337" i="7" s="1"/>
  <c r="J337" i="7" s="1"/>
  <c r="K337" i="7" s="1"/>
  <c r="H336" i="7"/>
  <c r="G336" i="7"/>
  <c r="A336" i="7"/>
  <c r="F336" i="7" s="1"/>
  <c r="I336" i="7" s="1"/>
  <c r="J336" i="7" s="1"/>
  <c r="K336" i="7" s="1"/>
  <c r="H335" i="7"/>
  <c r="G335" i="7"/>
  <c r="A335" i="7"/>
  <c r="F335" i="7" s="1"/>
  <c r="I335" i="7" s="1"/>
  <c r="J335" i="7" s="1"/>
  <c r="K335" i="7" s="1"/>
  <c r="H334" i="7"/>
  <c r="G334" i="7"/>
  <c r="A334" i="7"/>
  <c r="F334" i="7" s="1"/>
  <c r="H333" i="7"/>
  <c r="G333" i="7"/>
  <c r="A333" i="7"/>
  <c r="F333" i="7" s="1"/>
  <c r="I333" i="7" s="1"/>
  <c r="J333" i="7" s="1"/>
  <c r="K333" i="7" s="1"/>
  <c r="H332" i="7"/>
  <c r="G332" i="7"/>
  <c r="A332" i="7"/>
  <c r="F332" i="7" s="1"/>
  <c r="I332" i="7" s="1"/>
  <c r="J332" i="7" s="1"/>
  <c r="K332" i="7" s="1"/>
  <c r="H331" i="7"/>
  <c r="G331" i="7"/>
  <c r="A331" i="7"/>
  <c r="F331" i="7" s="1"/>
  <c r="I331" i="7" s="1"/>
  <c r="J331" i="7" s="1"/>
  <c r="K331" i="7" s="1"/>
  <c r="H330" i="7"/>
  <c r="G330" i="7"/>
  <c r="A330" i="7"/>
  <c r="F330" i="7" s="1"/>
  <c r="I330" i="7" s="1"/>
  <c r="J330" i="7" s="1"/>
  <c r="K330" i="7" s="1"/>
  <c r="H329" i="7"/>
  <c r="G329" i="7"/>
  <c r="A329" i="7"/>
  <c r="F329" i="7" s="1"/>
  <c r="I329" i="7" s="1"/>
  <c r="J329" i="7" s="1"/>
  <c r="K329" i="7" s="1"/>
  <c r="H328" i="7"/>
  <c r="G328" i="7"/>
  <c r="A328" i="7"/>
  <c r="F328" i="7" s="1"/>
  <c r="I328" i="7" s="1"/>
  <c r="J328" i="7" s="1"/>
  <c r="K328" i="7" s="1"/>
  <c r="H327" i="7"/>
  <c r="G327" i="7"/>
  <c r="A327" i="7"/>
  <c r="F327" i="7" s="1"/>
  <c r="I327" i="7" s="1"/>
  <c r="J327" i="7" s="1"/>
  <c r="K327" i="7" s="1"/>
  <c r="H326" i="7"/>
  <c r="G326" i="7"/>
  <c r="A326" i="7"/>
  <c r="F326" i="7" s="1"/>
  <c r="I326" i="7" s="1"/>
  <c r="J326" i="7" s="1"/>
  <c r="K326" i="7" s="1"/>
  <c r="H325" i="7"/>
  <c r="G325" i="7"/>
  <c r="A325" i="7"/>
  <c r="F325" i="7" s="1"/>
  <c r="I325" i="7" s="1"/>
  <c r="J325" i="7" s="1"/>
  <c r="K325" i="7" s="1"/>
  <c r="H324" i="7"/>
  <c r="G324" i="7"/>
  <c r="A324" i="7"/>
  <c r="F324" i="7" s="1"/>
  <c r="I324" i="7" s="1"/>
  <c r="J324" i="7" s="1"/>
  <c r="K324" i="7" s="1"/>
  <c r="H323" i="7"/>
  <c r="G323" i="7"/>
  <c r="A323" i="7"/>
  <c r="F323" i="7" s="1"/>
  <c r="I323" i="7" s="1"/>
  <c r="J323" i="7" s="1"/>
  <c r="K323" i="7" s="1"/>
  <c r="H322" i="7"/>
  <c r="G322" i="7"/>
  <c r="A322" i="7"/>
  <c r="F322" i="7" s="1"/>
  <c r="I322" i="7" s="1"/>
  <c r="J322" i="7" s="1"/>
  <c r="K322" i="7" s="1"/>
  <c r="H321" i="7"/>
  <c r="G321" i="7"/>
  <c r="A321" i="7"/>
  <c r="F321" i="7" s="1"/>
  <c r="I321" i="7" s="1"/>
  <c r="J321" i="7" s="1"/>
  <c r="K321" i="7" s="1"/>
  <c r="H320" i="7"/>
  <c r="G320" i="7"/>
  <c r="A320" i="7"/>
  <c r="F320" i="7" s="1"/>
  <c r="I320" i="7" s="1"/>
  <c r="J320" i="7" s="1"/>
  <c r="K320" i="7" s="1"/>
  <c r="H319" i="7"/>
  <c r="G319" i="7"/>
  <c r="A319" i="7"/>
  <c r="F319" i="7" s="1"/>
  <c r="I319" i="7" s="1"/>
  <c r="J319" i="7" s="1"/>
  <c r="K319" i="7" s="1"/>
  <c r="H318" i="7"/>
  <c r="G318" i="7"/>
  <c r="A318" i="7"/>
  <c r="F318" i="7" s="1"/>
  <c r="I318" i="7" s="1"/>
  <c r="J318" i="7" s="1"/>
  <c r="K318" i="7" s="1"/>
  <c r="H317" i="7"/>
  <c r="G317" i="7"/>
  <c r="A317" i="7"/>
  <c r="F317" i="7" s="1"/>
  <c r="I317" i="7" s="1"/>
  <c r="J317" i="7" s="1"/>
  <c r="K317" i="7" s="1"/>
  <c r="H316" i="7"/>
  <c r="G316" i="7"/>
  <c r="A316" i="7"/>
  <c r="F316" i="7" s="1"/>
  <c r="I316" i="7" s="1"/>
  <c r="J316" i="7" s="1"/>
  <c r="K316" i="7" s="1"/>
  <c r="H315" i="7"/>
  <c r="G315" i="7"/>
  <c r="A315" i="7"/>
  <c r="F315" i="7" s="1"/>
  <c r="I315" i="7" s="1"/>
  <c r="J315" i="7" s="1"/>
  <c r="K315" i="7" s="1"/>
  <c r="H314" i="7"/>
  <c r="G314" i="7"/>
  <c r="A314" i="7"/>
  <c r="F314" i="7" s="1"/>
  <c r="I314" i="7" s="1"/>
  <c r="J314" i="7" s="1"/>
  <c r="K314" i="7" s="1"/>
  <c r="H313" i="7"/>
  <c r="G313" i="7"/>
  <c r="A313" i="7"/>
  <c r="F313" i="7" s="1"/>
  <c r="I313" i="7" s="1"/>
  <c r="J313" i="7" s="1"/>
  <c r="K313" i="7" s="1"/>
  <c r="H312" i="7"/>
  <c r="G312" i="7"/>
  <c r="A312" i="7"/>
  <c r="F312" i="7" s="1"/>
  <c r="I312" i="7" s="1"/>
  <c r="J312" i="7" s="1"/>
  <c r="K312" i="7" s="1"/>
  <c r="H311" i="7"/>
  <c r="G311" i="7"/>
  <c r="A311" i="7"/>
  <c r="F311" i="7" s="1"/>
  <c r="I311" i="7" s="1"/>
  <c r="J311" i="7" s="1"/>
  <c r="K311" i="7" s="1"/>
  <c r="H310" i="7"/>
  <c r="G310" i="7"/>
  <c r="A310" i="7"/>
  <c r="F310" i="7" s="1"/>
  <c r="I310" i="7" s="1"/>
  <c r="J310" i="7" s="1"/>
  <c r="K310" i="7" s="1"/>
  <c r="H309" i="7"/>
  <c r="G309" i="7"/>
  <c r="A309" i="7"/>
  <c r="F309" i="7" s="1"/>
  <c r="I309" i="7" s="1"/>
  <c r="J309" i="7" s="1"/>
  <c r="K309" i="7" s="1"/>
  <c r="H308" i="7"/>
  <c r="G308" i="7"/>
  <c r="A308" i="7"/>
  <c r="F308" i="7" s="1"/>
  <c r="I308" i="7" s="1"/>
  <c r="J308" i="7" s="1"/>
  <c r="K308" i="7" s="1"/>
  <c r="H307" i="7"/>
  <c r="G307" i="7"/>
  <c r="A307" i="7"/>
  <c r="F307" i="7" s="1"/>
  <c r="I307" i="7" s="1"/>
  <c r="J307" i="7" s="1"/>
  <c r="K307" i="7" s="1"/>
  <c r="H306" i="7"/>
  <c r="G306" i="7"/>
  <c r="A306" i="7"/>
  <c r="F306" i="7" s="1"/>
  <c r="I306" i="7" s="1"/>
  <c r="J306" i="7" s="1"/>
  <c r="K306" i="7" s="1"/>
  <c r="H305" i="7"/>
  <c r="G305" i="7"/>
  <c r="A305" i="7"/>
  <c r="F305" i="7" s="1"/>
  <c r="I305" i="7" s="1"/>
  <c r="J305" i="7" s="1"/>
  <c r="K305" i="7" s="1"/>
  <c r="H304" i="7"/>
  <c r="G304" i="7"/>
  <c r="A304" i="7"/>
  <c r="F304" i="7" s="1"/>
  <c r="I304" i="7" s="1"/>
  <c r="J304" i="7" s="1"/>
  <c r="K304" i="7" s="1"/>
  <c r="H303" i="7"/>
  <c r="G303" i="7"/>
  <c r="A303" i="7"/>
  <c r="F303" i="7" s="1"/>
  <c r="I303" i="7" s="1"/>
  <c r="J303" i="7" s="1"/>
  <c r="K303" i="7" s="1"/>
  <c r="H302" i="7"/>
  <c r="G302" i="7"/>
  <c r="A302" i="7"/>
  <c r="F302" i="7" s="1"/>
  <c r="I302" i="7" s="1"/>
  <c r="J302" i="7" s="1"/>
  <c r="K302" i="7" s="1"/>
  <c r="H301" i="7"/>
  <c r="G301" i="7"/>
  <c r="A301" i="7"/>
  <c r="F301" i="7" s="1"/>
  <c r="I301" i="7" s="1"/>
  <c r="J301" i="7" s="1"/>
  <c r="K301" i="7" s="1"/>
  <c r="H300" i="7"/>
  <c r="G300" i="7"/>
  <c r="A300" i="7"/>
  <c r="F300" i="7" s="1"/>
  <c r="I300" i="7" s="1"/>
  <c r="J300" i="7" s="1"/>
  <c r="K300" i="7" s="1"/>
  <c r="H299" i="7"/>
  <c r="G299" i="7"/>
  <c r="A299" i="7"/>
  <c r="F299" i="7" s="1"/>
  <c r="I299" i="7" s="1"/>
  <c r="J299" i="7" s="1"/>
  <c r="K299" i="7" s="1"/>
  <c r="H298" i="7"/>
  <c r="G298" i="7"/>
  <c r="A298" i="7"/>
  <c r="F298" i="7" s="1"/>
  <c r="I298" i="7" s="1"/>
  <c r="J298" i="7" s="1"/>
  <c r="K298" i="7" s="1"/>
  <c r="H297" i="7"/>
  <c r="G297" i="7"/>
  <c r="A297" i="7"/>
  <c r="F297" i="7" s="1"/>
  <c r="I297" i="7" s="1"/>
  <c r="J297" i="7" s="1"/>
  <c r="K297" i="7" s="1"/>
  <c r="H296" i="7"/>
  <c r="G296" i="7"/>
  <c r="A296" i="7"/>
  <c r="F296" i="7" s="1"/>
  <c r="I296" i="7" s="1"/>
  <c r="J296" i="7" s="1"/>
  <c r="K296" i="7" s="1"/>
  <c r="H295" i="7"/>
  <c r="G295" i="7"/>
  <c r="A295" i="7"/>
  <c r="F295" i="7" s="1"/>
  <c r="I295" i="7" s="1"/>
  <c r="J295" i="7" s="1"/>
  <c r="K295" i="7" s="1"/>
  <c r="H294" i="7"/>
  <c r="G294" i="7"/>
  <c r="A294" i="7"/>
  <c r="F294" i="7" s="1"/>
  <c r="I294" i="7" s="1"/>
  <c r="J294" i="7" s="1"/>
  <c r="K294" i="7" s="1"/>
  <c r="H293" i="7"/>
  <c r="G293" i="7"/>
  <c r="A293" i="7"/>
  <c r="F293" i="7" s="1"/>
  <c r="I293" i="7" s="1"/>
  <c r="J293" i="7" s="1"/>
  <c r="K293" i="7" s="1"/>
  <c r="H292" i="7"/>
  <c r="G292" i="7"/>
  <c r="A292" i="7"/>
  <c r="F292" i="7" s="1"/>
  <c r="I292" i="7" s="1"/>
  <c r="J292" i="7" s="1"/>
  <c r="K292" i="7" s="1"/>
  <c r="H291" i="7"/>
  <c r="G291" i="7"/>
  <c r="A291" i="7"/>
  <c r="F291" i="7" s="1"/>
  <c r="I291" i="7" s="1"/>
  <c r="J291" i="7" s="1"/>
  <c r="K291" i="7" s="1"/>
  <c r="H290" i="7"/>
  <c r="G290" i="7"/>
  <c r="A290" i="7"/>
  <c r="F290" i="7" s="1"/>
  <c r="I290" i="7" s="1"/>
  <c r="J290" i="7" s="1"/>
  <c r="K290" i="7" s="1"/>
  <c r="H289" i="7"/>
  <c r="G289" i="7"/>
  <c r="A289" i="7"/>
  <c r="F289" i="7" s="1"/>
  <c r="I289" i="7" s="1"/>
  <c r="J289" i="7" s="1"/>
  <c r="K289" i="7" s="1"/>
  <c r="H288" i="7"/>
  <c r="G288" i="7"/>
  <c r="A288" i="7"/>
  <c r="F288" i="7" s="1"/>
  <c r="I288" i="7" s="1"/>
  <c r="J288" i="7" s="1"/>
  <c r="K288" i="7" s="1"/>
  <c r="H287" i="7"/>
  <c r="G287" i="7"/>
  <c r="A287" i="7"/>
  <c r="F287" i="7" s="1"/>
  <c r="I287" i="7" s="1"/>
  <c r="J287" i="7" s="1"/>
  <c r="K287" i="7" s="1"/>
  <c r="H286" i="7"/>
  <c r="G286" i="7"/>
  <c r="A286" i="7"/>
  <c r="F286" i="7" s="1"/>
  <c r="I286" i="7" s="1"/>
  <c r="J286" i="7" s="1"/>
  <c r="K286" i="7" s="1"/>
  <c r="H285" i="7"/>
  <c r="G285" i="7"/>
  <c r="A285" i="7"/>
  <c r="F285" i="7" s="1"/>
  <c r="I285" i="7" s="1"/>
  <c r="J285" i="7" s="1"/>
  <c r="K285" i="7" s="1"/>
  <c r="H284" i="7"/>
  <c r="G284" i="7"/>
  <c r="A284" i="7"/>
  <c r="F284" i="7" s="1"/>
  <c r="I284" i="7" s="1"/>
  <c r="J284" i="7" s="1"/>
  <c r="K284" i="7" s="1"/>
  <c r="H283" i="7"/>
  <c r="G283" i="7"/>
  <c r="A283" i="7"/>
  <c r="F283" i="7" s="1"/>
  <c r="I283" i="7" s="1"/>
  <c r="J283" i="7" s="1"/>
  <c r="K283" i="7" s="1"/>
  <c r="H282" i="7"/>
  <c r="G282" i="7"/>
  <c r="A282" i="7"/>
  <c r="F282" i="7" s="1"/>
  <c r="I282" i="7" s="1"/>
  <c r="J282" i="7" s="1"/>
  <c r="K282" i="7" s="1"/>
  <c r="H281" i="7"/>
  <c r="G281" i="7"/>
  <c r="A281" i="7"/>
  <c r="F281" i="7" s="1"/>
  <c r="I281" i="7" s="1"/>
  <c r="J281" i="7" s="1"/>
  <c r="K281" i="7" s="1"/>
  <c r="H280" i="7"/>
  <c r="G280" i="7"/>
  <c r="A280" i="7"/>
  <c r="F280" i="7" s="1"/>
  <c r="I280" i="7" s="1"/>
  <c r="J280" i="7" s="1"/>
  <c r="K280" i="7" s="1"/>
  <c r="H279" i="7"/>
  <c r="G279" i="7"/>
  <c r="A279" i="7"/>
  <c r="F279" i="7" s="1"/>
  <c r="I279" i="7" s="1"/>
  <c r="J279" i="7" s="1"/>
  <c r="K279" i="7" s="1"/>
  <c r="H278" i="7"/>
  <c r="G278" i="7"/>
  <c r="A278" i="7"/>
  <c r="F278" i="7" s="1"/>
  <c r="I278" i="7" s="1"/>
  <c r="J278" i="7" s="1"/>
  <c r="K278" i="7" s="1"/>
  <c r="H277" i="7"/>
  <c r="G277" i="7"/>
  <c r="A277" i="7"/>
  <c r="F277" i="7" s="1"/>
  <c r="I277" i="7" s="1"/>
  <c r="J277" i="7" s="1"/>
  <c r="K277" i="7" s="1"/>
  <c r="H276" i="7"/>
  <c r="G276" i="7"/>
  <c r="A276" i="7"/>
  <c r="F276" i="7" s="1"/>
  <c r="I276" i="7" s="1"/>
  <c r="J276" i="7" s="1"/>
  <c r="K276" i="7" s="1"/>
  <c r="H275" i="7"/>
  <c r="G275" i="7"/>
  <c r="A275" i="7"/>
  <c r="F275" i="7" s="1"/>
  <c r="I275" i="7" s="1"/>
  <c r="J275" i="7" s="1"/>
  <c r="K275" i="7" s="1"/>
  <c r="H274" i="7"/>
  <c r="G274" i="7"/>
  <c r="F274" i="7"/>
  <c r="I274" i="7" s="1"/>
  <c r="J274" i="7" s="1"/>
  <c r="K274" i="7" s="1"/>
  <c r="H273" i="7"/>
  <c r="G273" i="7"/>
  <c r="F273" i="7"/>
  <c r="I273" i="7" s="1"/>
  <c r="J273" i="7" s="1"/>
  <c r="K273" i="7" s="1"/>
  <c r="H272" i="7"/>
  <c r="G272" i="7"/>
  <c r="F272" i="7"/>
  <c r="I272" i="7" s="1"/>
  <c r="J272" i="7" s="1"/>
  <c r="K272" i="7" s="1"/>
  <c r="H271" i="7"/>
  <c r="G271" i="7"/>
  <c r="F271" i="7"/>
  <c r="I271" i="7" s="1"/>
  <c r="J271" i="7" s="1"/>
  <c r="K271" i="7" s="1"/>
  <c r="H270" i="7"/>
  <c r="G270" i="7"/>
  <c r="F270" i="7"/>
  <c r="I270" i="7" s="1"/>
  <c r="J270" i="7" s="1"/>
  <c r="K270" i="7" s="1"/>
  <c r="H269" i="7"/>
  <c r="G269" i="7"/>
  <c r="F269" i="7"/>
  <c r="I269" i="7" s="1"/>
  <c r="J269" i="7" s="1"/>
  <c r="K269" i="7" s="1"/>
  <c r="H268" i="7"/>
  <c r="G268" i="7"/>
  <c r="F268" i="7"/>
  <c r="I268" i="7" s="1"/>
  <c r="J268" i="7" s="1"/>
  <c r="K268" i="7" s="1"/>
  <c r="H267" i="7"/>
  <c r="G267" i="7"/>
  <c r="F267" i="7"/>
  <c r="I267" i="7" s="1"/>
  <c r="J267" i="7" s="1"/>
  <c r="K267" i="7" s="1"/>
  <c r="H266" i="7"/>
  <c r="G266" i="7"/>
  <c r="F266" i="7"/>
  <c r="I266" i="7" s="1"/>
  <c r="J266" i="7" s="1"/>
  <c r="K266" i="7" s="1"/>
  <c r="H265" i="7"/>
  <c r="G265" i="7"/>
  <c r="F265" i="7"/>
  <c r="I265" i="7" s="1"/>
  <c r="J265" i="7" s="1"/>
  <c r="K265" i="7" s="1"/>
  <c r="H264" i="7"/>
  <c r="G264" i="7"/>
  <c r="F264" i="7"/>
  <c r="I264" i="7" s="1"/>
  <c r="J264" i="7" s="1"/>
  <c r="K264" i="7" s="1"/>
  <c r="H263" i="7"/>
  <c r="G263" i="7"/>
  <c r="F263" i="7"/>
  <c r="I263" i="7" s="1"/>
  <c r="J263" i="7" s="1"/>
  <c r="K263" i="7" s="1"/>
  <c r="H262" i="7"/>
  <c r="G262" i="7"/>
  <c r="F262" i="7"/>
  <c r="I262" i="7" s="1"/>
  <c r="J262" i="7" s="1"/>
  <c r="K262" i="7" s="1"/>
  <c r="H261" i="7"/>
  <c r="G261" i="7"/>
  <c r="F261" i="7"/>
  <c r="I261" i="7" s="1"/>
  <c r="J261" i="7" s="1"/>
  <c r="K261" i="7" s="1"/>
  <c r="H260" i="7"/>
  <c r="G260" i="7"/>
  <c r="F260" i="7"/>
  <c r="I260" i="7" s="1"/>
  <c r="J260" i="7" s="1"/>
  <c r="K260" i="7" s="1"/>
  <c r="H259" i="7"/>
  <c r="G259" i="7"/>
  <c r="F259" i="7"/>
  <c r="I259" i="7" s="1"/>
  <c r="J259" i="7" s="1"/>
  <c r="K259" i="7" s="1"/>
  <c r="H258" i="7"/>
  <c r="G258" i="7"/>
  <c r="F258" i="7"/>
  <c r="I258" i="7" s="1"/>
  <c r="J258" i="7" s="1"/>
  <c r="K258" i="7" s="1"/>
  <c r="H257" i="7"/>
  <c r="G257" i="7"/>
  <c r="F257" i="7"/>
  <c r="H256" i="7"/>
  <c r="G256" i="7"/>
  <c r="F256" i="7"/>
  <c r="I256" i="7" s="1"/>
  <c r="J256" i="7" s="1"/>
  <c r="K256" i="7" s="1"/>
  <c r="H255" i="7"/>
  <c r="G255" i="7"/>
  <c r="F255" i="7"/>
  <c r="I255" i="7" s="1"/>
  <c r="J255" i="7" s="1"/>
  <c r="K255" i="7" s="1"/>
  <c r="H254" i="7"/>
  <c r="G254" i="7"/>
  <c r="F254" i="7"/>
  <c r="I254" i="7" s="1"/>
  <c r="J254" i="7" s="1"/>
  <c r="K254" i="7" s="1"/>
  <c r="H253" i="7"/>
  <c r="G253" i="7"/>
  <c r="F253" i="7"/>
  <c r="I253" i="7" s="1"/>
  <c r="J253" i="7" s="1"/>
  <c r="K253" i="7" s="1"/>
  <c r="H252" i="7"/>
  <c r="G252" i="7"/>
  <c r="F252" i="7"/>
  <c r="I252" i="7" s="1"/>
  <c r="J252" i="7" s="1"/>
  <c r="K252" i="7" s="1"/>
  <c r="H251" i="7"/>
  <c r="G251" i="7"/>
  <c r="F251" i="7"/>
  <c r="I251" i="7" s="1"/>
  <c r="J251" i="7" s="1"/>
  <c r="K251" i="7" s="1"/>
  <c r="H250" i="7"/>
  <c r="G250" i="7"/>
  <c r="F250" i="7"/>
  <c r="I250" i="7" s="1"/>
  <c r="J250" i="7" s="1"/>
  <c r="K250" i="7" s="1"/>
  <c r="H249" i="7"/>
  <c r="G249" i="7"/>
  <c r="F249" i="7"/>
  <c r="I249" i="7" s="1"/>
  <c r="J249" i="7" s="1"/>
  <c r="K249" i="7" s="1"/>
  <c r="H248" i="7"/>
  <c r="G248" i="7"/>
  <c r="F248" i="7"/>
  <c r="I248" i="7" s="1"/>
  <c r="J248" i="7" s="1"/>
  <c r="K248" i="7" s="1"/>
  <c r="H247" i="7"/>
  <c r="G247" i="7"/>
  <c r="F247" i="7"/>
  <c r="I247" i="7" s="1"/>
  <c r="J247" i="7" s="1"/>
  <c r="K247" i="7" s="1"/>
  <c r="H246" i="7"/>
  <c r="G246" i="7"/>
  <c r="F246" i="7"/>
  <c r="I246" i="7" s="1"/>
  <c r="J246" i="7" s="1"/>
  <c r="K246" i="7" s="1"/>
  <c r="H245" i="7"/>
  <c r="G245" i="7"/>
  <c r="F245" i="7"/>
  <c r="I245" i="7" s="1"/>
  <c r="J245" i="7" s="1"/>
  <c r="K245" i="7" s="1"/>
  <c r="H244" i="7"/>
  <c r="G244" i="7"/>
  <c r="F244" i="7"/>
  <c r="I244" i="7" s="1"/>
  <c r="J244" i="7" s="1"/>
  <c r="K244" i="7" s="1"/>
  <c r="H243" i="7"/>
  <c r="G243" i="7"/>
  <c r="F243" i="7"/>
  <c r="I243" i="7" s="1"/>
  <c r="J243" i="7" s="1"/>
  <c r="K243" i="7" s="1"/>
  <c r="H242" i="7"/>
  <c r="G242" i="7"/>
  <c r="F242" i="7"/>
  <c r="I242" i="7" s="1"/>
  <c r="J242" i="7" s="1"/>
  <c r="K242" i="7" s="1"/>
  <c r="H241" i="7"/>
  <c r="G241" i="7"/>
  <c r="F241" i="7"/>
  <c r="I241" i="7" s="1"/>
  <c r="J241" i="7" s="1"/>
  <c r="K241" i="7" s="1"/>
  <c r="H240" i="7"/>
  <c r="G240" i="7"/>
  <c r="F240" i="7"/>
  <c r="I240" i="7" s="1"/>
  <c r="J240" i="7" s="1"/>
  <c r="K240" i="7" s="1"/>
  <c r="H239" i="7"/>
  <c r="G239" i="7"/>
  <c r="F239" i="7"/>
  <c r="I239" i="7" s="1"/>
  <c r="J239" i="7" s="1"/>
  <c r="K239" i="7" s="1"/>
  <c r="H238" i="7"/>
  <c r="G238" i="7"/>
  <c r="F238" i="7"/>
  <c r="I238" i="7" s="1"/>
  <c r="J238" i="7" s="1"/>
  <c r="K238" i="7" s="1"/>
  <c r="H237" i="7"/>
  <c r="G237" i="7"/>
  <c r="F237" i="7"/>
  <c r="I237" i="7" s="1"/>
  <c r="J237" i="7" s="1"/>
  <c r="K237" i="7" s="1"/>
  <c r="H236" i="7"/>
  <c r="G236" i="7"/>
  <c r="F236" i="7"/>
  <c r="I236" i="7" s="1"/>
  <c r="J236" i="7" s="1"/>
  <c r="K236" i="7" s="1"/>
  <c r="H235" i="7"/>
  <c r="G235" i="7"/>
  <c r="F235" i="7"/>
  <c r="I235" i="7" s="1"/>
  <c r="J235" i="7" s="1"/>
  <c r="K235" i="7" s="1"/>
  <c r="H234" i="7"/>
  <c r="G234" i="7"/>
  <c r="F234" i="7"/>
  <c r="I234" i="7" s="1"/>
  <c r="J234" i="7" s="1"/>
  <c r="K234" i="7" s="1"/>
  <c r="H233" i="7"/>
  <c r="G233" i="7"/>
  <c r="F233" i="7"/>
  <c r="I233" i="7" s="1"/>
  <c r="J233" i="7" s="1"/>
  <c r="K233" i="7" s="1"/>
  <c r="H232" i="7"/>
  <c r="G232" i="7"/>
  <c r="F232" i="7"/>
  <c r="I232" i="7" s="1"/>
  <c r="J232" i="7" s="1"/>
  <c r="K232" i="7" s="1"/>
  <c r="H231" i="7"/>
  <c r="G231" i="7"/>
  <c r="F231" i="7"/>
  <c r="I231" i="7" s="1"/>
  <c r="J231" i="7" s="1"/>
  <c r="K231" i="7" s="1"/>
  <c r="H230" i="7"/>
  <c r="G230" i="7"/>
  <c r="F230" i="7"/>
  <c r="I230" i="7" s="1"/>
  <c r="J230" i="7" s="1"/>
  <c r="K230" i="7" s="1"/>
  <c r="H229" i="7"/>
  <c r="G229" i="7"/>
  <c r="F229" i="7"/>
  <c r="I229" i="7" s="1"/>
  <c r="J229" i="7" s="1"/>
  <c r="K229" i="7" s="1"/>
  <c r="H228" i="7"/>
  <c r="G228" i="7"/>
  <c r="F228" i="7"/>
  <c r="I228" i="7" s="1"/>
  <c r="J228" i="7" s="1"/>
  <c r="K228" i="7" s="1"/>
  <c r="H227" i="7"/>
  <c r="G227" i="7"/>
  <c r="F227" i="7"/>
  <c r="I227" i="7" s="1"/>
  <c r="J227" i="7" s="1"/>
  <c r="K227" i="7" s="1"/>
  <c r="H226" i="7"/>
  <c r="G226" i="7"/>
  <c r="F226" i="7"/>
  <c r="I226" i="7" s="1"/>
  <c r="J226" i="7" s="1"/>
  <c r="K226" i="7" s="1"/>
  <c r="H225" i="7"/>
  <c r="G225" i="7"/>
  <c r="F225" i="7"/>
  <c r="I225" i="7" s="1"/>
  <c r="J225" i="7" s="1"/>
  <c r="K225" i="7" s="1"/>
  <c r="H224" i="7"/>
  <c r="G224" i="7"/>
  <c r="F224" i="7"/>
  <c r="I224" i="7" s="1"/>
  <c r="J224" i="7" s="1"/>
  <c r="K224" i="7" s="1"/>
  <c r="H223" i="7"/>
  <c r="G223" i="7"/>
  <c r="F223" i="7"/>
  <c r="I223" i="7" s="1"/>
  <c r="J223" i="7" s="1"/>
  <c r="K223" i="7" s="1"/>
  <c r="H222" i="7"/>
  <c r="G222" i="7"/>
  <c r="F222" i="7"/>
  <c r="I222" i="7" s="1"/>
  <c r="J222" i="7" s="1"/>
  <c r="K222" i="7" s="1"/>
  <c r="H221" i="7"/>
  <c r="G221" i="7"/>
  <c r="F221" i="7"/>
  <c r="I221" i="7" s="1"/>
  <c r="J221" i="7" s="1"/>
  <c r="K221" i="7" s="1"/>
  <c r="H220" i="7"/>
  <c r="G220" i="7"/>
  <c r="F220" i="7"/>
  <c r="I220" i="7" s="1"/>
  <c r="J220" i="7" s="1"/>
  <c r="K220" i="7" s="1"/>
  <c r="H219" i="7"/>
  <c r="G219" i="7"/>
  <c r="F219" i="7"/>
  <c r="I219" i="7" s="1"/>
  <c r="J219" i="7" s="1"/>
  <c r="K219" i="7" s="1"/>
  <c r="H218" i="7"/>
  <c r="G218" i="7"/>
  <c r="F218" i="7"/>
  <c r="I218" i="7" s="1"/>
  <c r="J218" i="7" s="1"/>
  <c r="K218" i="7" s="1"/>
  <c r="H217" i="7"/>
  <c r="G217" i="7"/>
  <c r="F217" i="7"/>
  <c r="I217" i="7" s="1"/>
  <c r="J217" i="7" s="1"/>
  <c r="K217" i="7" s="1"/>
  <c r="H216" i="7"/>
  <c r="G216" i="7"/>
  <c r="F216" i="7"/>
  <c r="I216" i="7" s="1"/>
  <c r="J216" i="7" s="1"/>
  <c r="K216" i="7" s="1"/>
  <c r="H215" i="7"/>
  <c r="G215" i="7"/>
  <c r="F215" i="7"/>
  <c r="H214" i="7"/>
  <c r="G214" i="7"/>
  <c r="F214" i="7"/>
  <c r="I214" i="7" s="1"/>
  <c r="J214" i="7" s="1"/>
  <c r="K214" i="7" s="1"/>
  <c r="H213" i="7"/>
  <c r="G213" i="7"/>
  <c r="F213" i="7"/>
  <c r="I213" i="7" s="1"/>
  <c r="J213" i="7" s="1"/>
  <c r="K213" i="7" s="1"/>
  <c r="H212" i="7"/>
  <c r="G212" i="7"/>
  <c r="F212" i="7"/>
  <c r="I212" i="7" s="1"/>
  <c r="J212" i="7" s="1"/>
  <c r="K212" i="7" s="1"/>
  <c r="H211" i="7"/>
  <c r="G211" i="7"/>
  <c r="F211" i="7"/>
  <c r="H210" i="7"/>
  <c r="G210" i="7"/>
  <c r="F210" i="7"/>
  <c r="I210" i="7" s="1"/>
  <c r="J210" i="7" s="1"/>
  <c r="K210" i="7" s="1"/>
  <c r="H209" i="7"/>
  <c r="G209" i="7"/>
  <c r="F209" i="7"/>
  <c r="I209" i="7" s="1"/>
  <c r="J209" i="7" s="1"/>
  <c r="K209" i="7" s="1"/>
  <c r="H208" i="7"/>
  <c r="G208" i="7"/>
  <c r="F208" i="7"/>
  <c r="I208" i="7" s="1"/>
  <c r="J208" i="7" s="1"/>
  <c r="K208" i="7" s="1"/>
  <c r="H207" i="7"/>
  <c r="G207" i="7"/>
  <c r="F207" i="7"/>
  <c r="I207" i="7" s="1"/>
  <c r="J207" i="7" s="1"/>
  <c r="K207" i="7" s="1"/>
  <c r="H206" i="7"/>
  <c r="G206" i="7"/>
  <c r="F206" i="7"/>
  <c r="I206" i="7" s="1"/>
  <c r="J206" i="7" s="1"/>
  <c r="K206" i="7" s="1"/>
  <c r="H205" i="7"/>
  <c r="G205" i="7"/>
  <c r="F205" i="7"/>
  <c r="I205" i="7" s="1"/>
  <c r="J205" i="7" s="1"/>
  <c r="K205" i="7" s="1"/>
  <c r="H204" i="7"/>
  <c r="G204" i="7"/>
  <c r="F204" i="7"/>
  <c r="I204" i="7" s="1"/>
  <c r="J204" i="7" s="1"/>
  <c r="K204" i="7" s="1"/>
  <c r="H203" i="7"/>
  <c r="G203" i="7"/>
  <c r="F203" i="7"/>
  <c r="I203" i="7" s="1"/>
  <c r="J203" i="7" s="1"/>
  <c r="K203" i="7" s="1"/>
  <c r="H202" i="7"/>
  <c r="G202" i="7"/>
  <c r="F202" i="7"/>
  <c r="I202" i="7" s="1"/>
  <c r="J202" i="7" s="1"/>
  <c r="K202" i="7" s="1"/>
  <c r="H201" i="7"/>
  <c r="G201" i="7"/>
  <c r="F201" i="7"/>
  <c r="I201" i="7" s="1"/>
  <c r="J201" i="7" s="1"/>
  <c r="K201" i="7" s="1"/>
  <c r="H200" i="7"/>
  <c r="G200" i="7"/>
  <c r="F200" i="7"/>
  <c r="I200" i="7" s="1"/>
  <c r="J200" i="7" s="1"/>
  <c r="K200" i="7" s="1"/>
  <c r="H199" i="7"/>
  <c r="G199" i="7"/>
  <c r="F199" i="7"/>
  <c r="I199" i="7" s="1"/>
  <c r="J199" i="7" s="1"/>
  <c r="K199" i="7" s="1"/>
  <c r="H198" i="7"/>
  <c r="G198" i="7"/>
  <c r="F198" i="7"/>
  <c r="I198" i="7" s="1"/>
  <c r="J198" i="7" s="1"/>
  <c r="K198" i="7" s="1"/>
  <c r="H197" i="7"/>
  <c r="G197" i="7"/>
  <c r="F197" i="7"/>
  <c r="I197" i="7" s="1"/>
  <c r="J197" i="7" s="1"/>
  <c r="K197" i="7" s="1"/>
  <c r="H196" i="7"/>
  <c r="G196" i="7"/>
  <c r="F196" i="7"/>
  <c r="I196" i="7" s="1"/>
  <c r="J196" i="7" s="1"/>
  <c r="K196" i="7" s="1"/>
  <c r="H195" i="7"/>
  <c r="G195" i="7"/>
  <c r="F195" i="7"/>
  <c r="I195" i="7" s="1"/>
  <c r="J195" i="7" s="1"/>
  <c r="K195" i="7" s="1"/>
  <c r="H194" i="7"/>
  <c r="G194" i="7"/>
  <c r="F194" i="7"/>
  <c r="I194" i="7" s="1"/>
  <c r="J194" i="7" s="1"/>
  <c r="K194" i="7" s="1"/>
  <c r="H193" i="7"/>
  <c r="G193" i="7"/>
  <c r="F193" i="7"/>
  <c r="I193" i="7" s="1"/>
  <c r="J193" i="7" s="1"/>
  <c r="K193" i="7" s="1"/>
  <c r="H192" i="7"/>
  <c r="G192" i="7"/>
  <c r="F192" i="7"/>
  <c r="I192" i="7" s="1"/>
  <c r="J192" i="7" s="1"/>
  <c r="K192" i="7" s="1"/>
  <c r="H191" i="7"/>
  <c r="G191" i="7"/>
  <c r="F191" i="7"/>
  <c r="I191" i="7" s="1"/>
  <c r="J191" i="7" s="1"/>
  <c r="K191" i="7" s="1"/>
  <c r="H190" i="7"/>
  <c r="G190" i="7"/>
  <c r="F190" i="7"/>
  <c r="I190" i="7" s="1"/>
  <c r="J190" i="7" s="1"/>
  <c r="K190" i="7" s="1"/>
  <c r="H189" i="7"/>
  <c r="G189" i="7"/>
  <c r="F189" i="7"/>
  <c r="I189" i="7" s="1"/>
  <c r="J189" i="7" s="1"/>
  <c r="K189" i="7" s="1"/>
  <c r="H188" i="7"/>
  <c r="G188" i="7"/>
  <c r="F188" i="7"/>
  <c r="I188" i="7" s="1"/>
  <c r="J188" i="7" s="1"/>
  <c r="K188" i="7" s="1"/>
  <c r="H187" i="7"/>
  <c r="G187" i="7"/>
  <c r="F187" i="7"/>
  <c r="I187" i="7" s="1"/>
  <c r="J187" i="7" s="1"/>
  <c r="K187" i="7" s="1"/>
  <c r="H186" i="7"/>
  <c r="G186" i="7"/>
  <c r="F186" i="7"/>
  <c r="I186" i="7" s="1"/>
  <c r="J186" i="7" s="1"/>
  <c r="K186" i="7" s="1"/>
  <c r="H185" i="7"/>
  <c r="G185" i="7"/>
  <c r="F185" i="7"/>
  <c r="I185" i="7" s="1"/>
  <c r="J185" i="7" s="1"/>
  <c r="K185" i="7" s="1"/>
  <c r="H184" i="7"/>
  <c r="G184" i="7"/>
  <c r="F184" i="7"/>
  <c r="I184" i="7" s="1"/>
  <c r="J184" i="7" s="1"/>
  <c r="K184" i="7" s="1"/>
  <c r="H183" i="7"/>
  <c r="G183" i="7"/>
  <c r="F183" i="7"/>
  <c r="I183" i="7" s="1"/>
  <c r="J183" i="7" s="1"/>
  <c r="K183" i="7" s="1"/>
  <c r="H182" i="7"/>
  <c r="G182" i="7"/>
  <c r="F182" i="7"/>
  <c r="I182" i="7" s="1"/>
  <c r="J182" i="7" s="1"/>
  <c r="K182" i="7" s="1"/>
  <c r="H181" i="7"/>
  <c r="G181" i="7"/>
  <c r="F181" i="7"/>
  <c r="I181" i="7" s="1"/>
  <c r="J181" i="7" s="1"/>
  <c r="K181" i="7" s="1"/>
  <c r="H180" i="7"/>
  <c r="G180" i="7"/>
  <c r="F180" i="7"/>
  <c r="I180" i="7" s="1"/>
  <c r="J180" i="7" s="1"/>
  <c r="K180" i="7" s="1"/>
  <c r="H179" i="7"/>
  <c r="G179" i="7"/>
  <c r="F179" i="7"/>
  <c r="I179" i="7" s="1"/>
  <c r="J179" i="7" s="1"/>
  <c r="K179" i="7" s="1"/>
  <c r="H178" i="7"/>
  <c r="G178" i="7"/>
  <c r="F178" i="7"/>
  <c r="I178" i="7" s="1"/>
  <c r="J178" i="7" s="1"/>
  <c r="K178" i="7" s="1"/>
  <c r="H177" i="7"/>
  <c r="G177" i="7"/>
  <c r="F177" i="7"/>
  <c r="I177" i="7" s="1"/>
  <c r="J177" i="7" s="1"/>
  <c r="K177" i="7" s="1"/>
  <c r="H176" i="7"/>
  <c r="G176" i="7"/>
  <c r="F176" i="7"/>
  <c r="I176" i="7" s="1"/>
  <c r="J176" i="7" s="1"/>
  <c r="K176" i="7" s="1"/>
  <c r="H175" i="7"/>
  <c r="G175" i="7"/>
  <c r="F175" i="7"/>
  <c r="I175" i="7" s="1"/>
  <c r="J175" i="7" s="1"/>
  <c r="K175" i="7" s="1"/>
  <c r="H174" i="7"/>
  <c r="G174" i="7"/>
  <c r="F174" i="7"/>
  <c r="I174" i="7" s="1"/>
  <c r="J174" i="7" s="1"/>
  <c r="K174" i="7" s="1"/>
  <c r="H173" i="7"/>
  <c r="G173" i="7"/>
  <c r="F173" i="7"/>
  <c r="I173" i="7" s="1"/>
  <c r="J173" i="7" s="1"/>
  <c r="K173" i="7" s="1"/>
  <c r="H172" i="7"/>
  <c r="G172" i="7"/>
  <c r="F172" i="7"/>
  <c r="I172" i="7" s="1"/>
  <c r="J172" i="7" s="1"/>
  <c r="K172" i="7" s="1"/>
  <c r="H171" i="7"/>
  <c r="G171" i="7"/>
  <c r="F171" i="7"/>
  <c r="I171" i="7" s="1"/>
  <c r="J171" i="7" s="1"/>
  <c r="K171" i="7" s="1"/>
  <c r="H170" i="7"/>
  <c r="G170" i="7"/>
  <c r="F170" i="7"/>
  <c r="I170" i="7" s="1"/>
  <c r="J170" i="7" s="1"/>
  <c r="K170" i="7" s="1"/>
  <c r="H169" i="7"/>
  <c r="G169" i="7"/>
  <c r="F169" i="7"/>
  <c r="I169" i="7" s="1"/>
  <c r="J169" i="7" s="1"/>
  <c r="K169" i="7" s="1"/>
  <c r="H168" i="7"/>
  <c r="G168" i="7"/>
  <c r="F168" i="7"/>
  <c r="I168" i="7" s="1"/>
  <c r="J168" i="7" s="1"/>
  <c r="K168" i="7" s="1"/>
  <c r="H167" i="7"/>
  <c r="G167" i="7"/>
  <c r="F167" i="7"/>
  <c r="H166" i="7"/>
  <c r="G166" i="7"/>
  <c r="F166" i="7"/>
  <c r="I166" i="7" s="1"/>
  <c r="J166" i="7" s="1"/>
  <c r="K166" i="7" s="1"/>
  <c r="H165" i="7"/>
  <c r="G165" i="7"/>
  <c r="F165" i="7"/>
  <c r="I165" i="7" s="1"/>
  <c r="J165" i="7" s="1"/>
  <c r="K165" i="7" s="1"/>
  <c r="H164" i="7"/>
  <c r="G164" i="7"/>
  <c r="F164" i="7"/>
  <c r="I164" i="7" s="1"/>
  <c r="J164" i="7" s="1"/>
  <c r="K164" i="7" s="1"/>
  <c r="H163" i="7"/>
  <c r="G163" i="7"/>
  <c r="F163" i="7"/>
  <c r="I163" i="7" s="1"/>
  <c r="J163" i="7" s="1"/>
  <c r="K163" i="7" s="1"/>
  <c r="H162" i="7"/>
  <c r="G162" i="7"/>
  <c r="F162" i="7"/>
  <c r="I162" i="7" s="1"/>
  <c r="J162" i="7" s="1"/>
  <c r="K162" i="7" s="1"/>
  <c r="H161" i="7"/>
  <c r="G161" i="7"/>
  <c r="F161" i="7"/>
  <c r="I161" i="7" s="1"/>
  <c r="J161" i="7" s="1"/>
  <c r="K161" i="7" s="1"/>
  <c r="H160" i="7"/>
  <c r="G160" i="7"/>
  <c r="F160" i="7"/>
  <c r="I160" i="7" s="1"/>
  <c r="J160" i="7" s="1"/>
  <c r="K160" i="7" s="1"/>
  <c r="H159" i="7"/>
  <c r="G159" i="7"/>
  <c r="F159" i="7"/>
  <c r="I159" i="7" s="1"/>
  <c r="J159" i="7" s="1"/>
  <c r="K159" i="7" s="1"/>
  <c r="H158" i="7"/>
  <c r="G158" i="7"/>
  <c r="F158" i="7"/>
  <c r="I158" i="7" s="1"/>
  <c r="J158" i="7" s="1"/>
  <c r="K158" i="7" s="1"/>
  <c r="H157" i="7"/>
  <c r="G157" i="7"/>
  <c r="F157" i="7"/>
  <c r="I157" i="7" s="1"/>
  <c r="J157" i="7" s="1"/>
  <c r="K157" i="7" s="1"/>
  <c r="H156" i="7"/>
  <c r="G156" i="7"/>
  <c r="F156" i="7"/>
  <c r="I156" i="7" s="1"/>
  <c r="J156" i="7" s="1"/>
  <c r="K156" i="7" s="1"/>
  <c r="H155" i="7"/>
  <c r="G155" i="7"/>
  <c r="F155" i="7"/>
  <c r="I155" i="7" s="1"/>
  <c r="J155" i="7" s="1"/>
  <c r="K155" i="7" s="1"/>
  <c r="H154" i="7"/>
  <c r="G154" i="7"/>
  <c r="F154" i="7"/>
  <c r="I154" i="7" s="1"/>
  <c r="J154" i="7" s="1"/>
  <c r="K154" i="7" s="1"/>
  <c r="H153" i="7"/>
  <c r="G153" i="7"/>
  <c r="F153" i="7"/>
  <c r="I153" i="7" s="1"/>
  <c r="J153" i="7" s="1"/>
  <c r="K153" i="7" s="1"/>
  <c r="H152" i="7"/>
  <c r="G152" i="7"/>
  <c r="F152" i="7"/>
  <c r="I152" i="7" s="1"/>
  <c r="J152" i="7" s="1"/>
  <c r="K152" i="7" s="1"/>
  <c r="H151" i="7"/>
  <c r="G151" i="7"/>
  <c r="F151" i="7"/>
  <c r="I151" i="7" s="1"/>
  <c r="J151" i="7" s="1"/>
  <c r="K151" i="7" s="1"/>
  <c r="H150" i="7"/>
  <c r="G150" i="7"/>
  <c r="F150" i="7"/>
  <c r="I150" i="7" s="1"/>
  <c r="J150" i="7" s="1"/>
  <c r="K150" i="7" s="1"/>
  <c r="H149" i="7"/>
  <c r="G149" i="7"/>
  <c r="F149" i="7"/>
  <c r="I149" i="7" s="1"/>
  <c r="J149" i="7" s="1"/>
  <c r="K149" i="7" s="1"/>
  <c r="H148" i="7"/>
  <c r="G148" i="7"/>
  <c r="F148" i="7"/>
  <c r="I148" i="7" s="1"/>
  <c r="J148" i="7" s="1"/>
  <c r="K148" i="7" s="1"/>
  <c r="H147" i="7"/>
  <c r="G147" i="7"/>
  <c r="F147" i="7"/>
  <c r="I147" i="7" s="1"/>
  <c r="J147" i="7" s="1"/>
  <c r="K147" i="7" s="1"/>
  <c r="H146" i="7"/>
  <c r="G146" i="7"/>
  <c r="F146" i="7"/>
  <c r="I146" i="7" s="1"/>
  <c r="J146" i="7" s="1"/>
  <c r="K146" i="7" s="1"/>
  <c r="H145" i="7"/>
  <c r="G145" i="7"/>
  <c r="F145" i="7"/>
  <c r="I145" i="7" s="1"/>
  <c r="J145" i="7" s="1"/>
  <c r="K145" i="7" s="1"/>
  <c r="H144" i="7"/>
  <c r="G144" i="7"/>
  <c r="F144" i="7"/>
  <c r="I144" i="7" s="1"/>
  <c r="J144" i="7" s="1"/>
  <c r="K144" i="7" s="1"/>
  <c r="H143" i="7"/>
  <c r="G143" i="7"/>
  <c r="F143" i="7"/>
  <c r="I143" i="7" s="1"/>
  <c r="J143" i="7" s="1"/>
  <c r="K143" i="7" s="1"/>
  <c r="H142" i="7"/>
  <c r="G142" i="7"/>
  <c r="F142" i="7"/>
  <c r="I142" i="7" s="1"/>
  <c r="J142" i="7" s="1"/>
  <c r="K142" i="7" s="1"/>
  <c r="H141" i="7"/>
  <c r="G141" i="7"/>
  <c r="F141" i="7"/>
  <c r="I141" i="7" s="1"/>
  <c r="J141" i="7" s="1"/>
  <c r="K141" i="7" s="1"/>
  <c r="H140" i="7"/>
  <c r="G140" i="7"/>
  <c r="F140" i="7"/>
  <c r="I140" i="7" s="1"/>
  <c r="J140" i="7" s="1"/>
  <c r="K140" i="7" s="1"/>
  <c r="H139" i="7"/>
  <c r="G139" i="7"/>
  <c r="F139" i="7"/>
  <c r="I139" i="7" s="1"/>
  <c r="J139" i="7" s="1"/>
  <c r="K139" i="7" s="1"/>
  <c r="H138" i="7"/>
  <c r="G138" i="7"/>
  <c r="F138" i="7"/>
  <c r="I138" i="7" s="1"/>
  <c r="J138" i="7" s="1"/>
  <c r="K138" i="7" s="1"/>
  <c r="H137" i="7"/>
  <c r="G137" i="7"/>
  <c r="F137" i="7"/>
  <c r="I137" i="7" s="1"/>
  <c r="J137" i="7" s="1"/>
  <c r="K137" i="7" s="1"/>
  <c r="H136" i="7"/>
  <c r="G136" i="7"/>
  <c r="F136" i="7"/>
  <c r="I136" i="7" s="1"/>
  <c r="J136" i="7" s="1"/>
  <c r="K136" i="7" s="1"/>
  <c r="H135" i="7"/>
  <c r="G135" i="7"/>
  <c r="F135" i="7"/>
  <c r="I135" i="7" s="1"/>
  <c r="J135" i="7" s="1"/>
  <c r="K135" i="7" s="1"/>
  <c r="H134" i="7"/>
  <c r="G134" i="7"/>
  <c r="F134" i="7"/>
  <c r="I134" i="7" s="1"/>
  <c r="J134" i="7" s="1"/>
  <c r="K134" i="7" s="1"/>
  <c r="H133" i="7"/>
  <c r="G133" i="7"/>
  <c r="F133" i="7"/>
  <c r="I133" i="7" s="1"/>
  <c r="J133" i="7" s="1"/>
  <c r="K133" i="7" s="1"/>
  <c r="H132" i="7"/>
  <c r="G132" i="7"/>
  <c r="F132" i="7"/>
  <c r="I132" i="7" s="1"/>
  <c r="J132" i="7" s="1"/>
  <c r="K132" i="7" s="1"/>
  <c r="H131" i="7"/>
  <c r="G131" i="7"/>
  <c r="F131" i="7"/>
  <c r="I131" i="7" s="1"/>
  <c r="J131" i="7" s="1"/>
  <c r="K131" i="7" s="1"/>
  <c r="H130" i="7"/>
  <c r="G130" i="7"/>
  <c r="F130" i="7"/>
  <c r="I130" i="7" s="1"/>
  <c r="J130" i="7" s="1"/>
  <c r="K130" i="7" s="1"/>
  <c r="H129" i="7"/>
  <c r="G129" i="7"/>
  <c r="F129" i="7"/>
  <c r="I129" i="7" s="1"/>
  <c r="J129" i="7" s="1"/>
  <c r="K129" i="7" s="1"/>
  <c r="H128" i="7"/>
  <c r="G128" i="7"/>
  <c r="F128" i="7"/>
  <c r="I128" i="7" s="1"/>
  <c r="J128" i="7" s="1"/>
  <c r="K128" i="7" s="1"/>
  <c r="H127" i="7"/>
  <c r="G127" i="7"/>
  <c r="F127" i="7"/>
  <c r="I127" i="7" s="1"/>
  <c r="J127" i="7" s="1"/>
  <c r="K127" i="7" s="1"/>
  <c r="H126" i="7"/>
  <c r="G126" i="7"/>
  <c r="F126" i="7"/>
  <c r="I126" i="7" s="1"/>
  <c r="J126" i="7" s="1"/>
  <c r="K126" i="7" s="1"/>
  <c r="H125" i="7"/>
  <c r="G125" i="7"/>
  <c r="F125" i="7"/>
  <c r="I125" i="7" s="1"/>
  <c r="J125" i="7" s="1"/>
  <c r="K125" i="7" s="1"/>
  <c r="H124" i="7"/>
  <c r="G124" i="7"/>
  <c r="F124" i="7"/>
  <c r="I124" i="7" s="1"/>
  <c r="J124" i="7" s="1"/>
  <c r="K124" i="7" s="1"/>
  <c r="H123" i="7"/>
  <c r="G123" i="7"/>
  <c r="F123" i="7"/>
  <c r="H122" i="7"/>
  <c r="G122" i="7"/>
  <c r="F122" i="7"/>
  <c r="H121" i="7"/>
  <c r="G121" i="7"/>
  <c r="F121" i="7"/>
  <c r="I121" i="7" s="1"/>
  <c r="J121" i="7" s="1"/>
  <c r="K121" i="7" s="1"/>
  <c r="H120" i="7"/>
  <c r="G120" i="7"/>
  <c r="F120" i="7"/>
  <c r="I120" i="7" s="1"/>
  <c r="J120" i="7" s="1"/>
  <c r="K120" i="7" s="1"/>
  <c r="H119" i="7"/>
  <c r="G119" i="7"/>
  <c r="F119" i="7"/>
  <c r="I119" i="7" s="1"/>
  <c r="J119" i="7" s="1"/>
  <c r="K119" i="7" s="1"/>
  <c r="H118" i="7"/>
  <c r="G118" i="7"/>
  <c r="F118" i="7"/>
  <c r="I118" i="7" s="1"/>
  <c r="J118" i="7" s="1"/>
  <c r="K118" i="7" s="1"/>
  <c r="H117" i="7"/>
  <c r="G117" i="7"/>
  <c r="F117" i="7"/>
  <c r="I117" i="7" s="1"/>
  <c r="J117" i="7" s="1"/>
  <c r="K117" i="7" s="1"/>
  <c r="H116" i="7"/>
  <c r="G116" i="7"/>
  <c r="F116" i="7"/>
  <c r="I116" i="7" s="1"/>
  <c r="J116" i="7" s="1"/>
  <c r="K116" i="7" s="1"/>
  <c r="H115" i="7"/>
  <c r="G115" i="7"/>
  <c r="F115" i="7"/>
  <c r="I115" i="7" s="1"/>
  <c r="J115" i="7" s="1"/>
  <c r="K115" i="7" s="1"/>
  <c r="H114" i="7"/>
  <c r="G114" i="7"/>
  <c r="F114" i="7"/>
  <c r="I114" i="7" s="1"/>
  <c r="J114" i="7" s="1"/>
  <c r="K114" i="7" s="1"/>
  <c r="H113" i="7"/>
  <c r="G113" i="7"/>
  <c r="F113" i="7"/>
  <c r="I113" i="7" s="1"/>
  <c r="J113" i="7" s="1"/>
  <c r="K113" i="7" s="1"/>
  <c r="H112" i="7"/>
  <c r="G112" i="7"/>
  <c r="F112" i="7"/>
  <c r="I112" i="7" s="1"/>
  <c r="J112" i="7" s="1"/>
  <c r="K112" i="7" s="1"/>
  <c r="H111" i="7"/>
  <c r="G111" i="7"/>
  <c r="F111" i="7"/>
  <c r="I111" i="7" s="1"/>
  <c r="J111" i="7" s="1"/>
  <c r="K111" i="7" s="1"/>
  <c r="H110" i="7"/>
  <c r="G110" i="7"/>
  <c r="F110" i="7"/>
  <c r="I110" i="7" s="1"/>
  <c r="J110" i="7" s="1"/>
  <c r="K110" i="7" s="1"/>
  <c r="H109" i="7"/>
  <c r="G109" i="7"/>
  <c r="F109" i="7"/>
  <c r="I109" i="7" s="1"/>
  <c r="J109" i="7" s="1"/>
  <c r="K109" i="7" s="1"/>
  <c r="H108" i="7"/>
  <c r="G108" i="7"/>
  <c r="F108" i="7"/>
  <c r="I108" i="7" s="1"/>
  <c r="J108" i="7" s="1"/>
  <c r="K108" i="7" s="1"/>
  <c r="H107" i="7"/>
  <c r="G107" i="7"/>
  <c r="F107" i="7"/>
  <c r="I107" i="7" s="1"/>
  <c r="J107" i="7" s="1"/>
  <c r="K107" i="7" s="1"/>
  <c r="H106" i="7"/>
  <c r="G106" i="7"/>
  <c r="F106" i="7"/>
  <c r="I106" i="7" s="1"/>
  <c r="J106" i="7" s="1"/>
  <c r="K106" i="7" s="1"/>
  <c r="H105" i="7"/>
  <c r="G105" i="7"/>
  <c r="F105" i="7"/>
  <c r="I105" i="7" s="1"/>
  <c r="J105" i="7" s="1"/>
  <c r="K105" i="7" s="1"/>
  <c r="H104" i="7"/>
  <c r="G104" i="7"/>
  <c r="F104" i="7"/>
  <c r="I104" i="7" s="1"/>
  <c r="J104" i="7" s="1"/>
  <c r="K104" i="7" s="1"/>
  <c r="H103" i="7"/>
  <c r="G103" i="7"/>
  <c r="F103" i="7"/>
  <c r="I103" i="7" s="1"/>
  <c r="J103" i="7" s="1"/>
  <c r="K103" i="7" s="1"/>
  <c r="H102" i="7"/>
  <c r="G102" i="7"/>
  <c r="F102" i="7"/>
  <c r="I102" i="7" s="1"/>
  <c r="J102" i="7" s="1"/>
  <c r="K102" i="7" s="1"/>
  <c r="H101" i="7"/>
  <c r="G101" i="7"/>
  <c r="F101" i="7"/>
  <c r="I101" i="7" s="1"/>
  <c r="J101" i="7" s="1"/>
  <c r="K101" i="7" s="1"/>
  <c r="H100" i="7"/>
  <c r="G100" i="7"/>
  <c r="F100" i="7"/>
  <c r="I100" i="7" s="1"/>
  <c r="J100" i="7" s="1"/>
  <c r="K100" i="7" s="1"/>
  <c r="H99" i="7"/>
  <c r="G99" i="7"/>
  <c r="F99" i="7"/>
  <c r="I99" i="7" s="1"/>
  <c r="J99" i="7" s="1"/>
  <c r="K99" i="7" s="1"/>
  <c r="H98" i="7"/>
  <c r="G98" i="7"/>
  <c r="F98" i="7"/>
  <c r="I98" i="7" s="1"/>
  <c r="J98" i="7" s="1"/>
  <c r="K98" i="7" s="1"/>
  <c r="H97" i="7"/>
  <c r="G97" i="7"/>
  <c r="F97" i="7"/>
  <c r="I97" i="7" s="1"/>
  <c r="J97" i="7" s="1"/>
  <c r="K97" i="7" s="1"/>
  <c r="H96" i="7"/>
  <c r="G96" i="7"/>
  <c r="F96" i="7"/>
  <c r="I96" i="7" s="1"/>
  <c r="J96" i="7" s="1"/>
  <c r="K96" i="7" s="1"/>
  <c r="H95" i="7"/>
  <c r="G95" i="7"/>
  <c r="F95" i="7"/>
  <c r="I95" i="7" s="1"/>
  <c r="J95" i="7" s="1"/>
  <c r="K95" i="7" s="1"/>
  <c r="H94" i="7"/>
  <c r="G94" i="7"/>
  <c r="F94" i="7"/>
  <c r="I94" i="7" s="1"/>
  <c r="J94" i="7" s="1"/>
  <c r="K94" i="7" s="1"/>
  <c r="H93" i="7"/>
  <c r="G93" i="7"/>
  <c r="F93" i="7"/>
  <c r="I93" i="7" s="1"/>
  <c r="J93" i="7" s="1"/>
  <c r="K93" i="7" s="1"/>
  <c r="H92" i="7"/>
  <c r="G92" i="7"/>
  <c r="F92" i="7"/>
  <c r="I92" i="7" s="1"/>
  <c r="J92" i="7" s="1"/>
  <c r="K92" i="7" s="1"/>
  <c r="H91" i="7"/>
  <c r="G91" i="7"/>
  <c r="F91" i="7"/>
  <c r="I91" i="7" s="1"/>
  <c r="J91" i="7" s="1"/>
  <c r="K91" i="7" s="1"/>
  <c r="H90" i="7"/>
  <c r="G90" i="7"/>
  <c r="F90" i="7"/>
  <c r="I90" i="7" s="1"/>
  <c r="J90" i="7" s="1"/>
  <c r="K90" i="7" s="1"/>
  <c r="H89" i="7"/>
  <c r="G89" i="7"/>
  <c r="F89" i="7"/>
  <c r="I89" i="7" s="1"/>
  <c r="J89" i="7" s="1"/>
  <c r="K89" i="7" s="1"/>
  <c r="H88" i="7"/>
  <c r="G88" i="7"/>
  <c r="F88" i="7"/>
  <c r="I88" i="7" s="1"/>
  <c r="J88" i="7" s="1"/>
  <c r="K88" i="7" s="1"/>
  <c r="H87" i="7"/>
  <c r="G87" i="7"/>
  <c r="F87" i="7"/>
  <c r="I87" i="7" s="1"/>
  <c r="J87" i="7" s="1"/>
  <c r="K87" i="7" s="1"/>
  <c r="H86" i="7"/>
  <c r="G86" i="7"/>
  <c r="F86" i="7"/>
  <c r="I86" i="7" s="1"/>
  <c r="J86" i="7" s="1"/>
  <c r="K86" i="7" s="1"/>
  <c r="H85" i="7"/>
  <c r="G85" i="7"/>
  <c r="F85" i="7"/>
  <c r="I85" i="7" s="1"/>
  <c r="J85" i="7" s="1"/>
  <c r="K85" i="7" s="1"/>
  <c r="H84" i="7"/>
  <c r="G84" i="7"/>
  <c r="F84" i="7"/>
  <c r="I84" i="7" s="1"/>
  <c r="J84" i="7" s="1"/>
  <c r="K84" i="7" s="1"/>
  <c r="H83" i="7"/>
  <c r="G83" i="7"/>
  <c r="F83" i="7"/>
  <c r="I83" i="7" s="1"/>
  <c r="J83" i="7" s="1"/>
  <c r="K83" i="7" s="1"/>
  <c r="H82" i="7"/>
  <c r="G82" i="7"/>
  <c r="F82" i="7"/>
  <c r="H81" i="7"/>
  <c r="G81" i="7"/>
  <c r="F81" i="7"/>
  <c r="I81" i="7" s="1"/>
  <c r="J81" i="7" s="1"/>
  <c r="K81" i="7" s="1"/>
  <c r="H80" i="7"/>
  <c r="G80" i="7"/>
  <c r="F80" i="7"/>
  <c r="I80" i="7" s="1"/>
  <c r="J80" i="7" s="1"/>
  <c r="K80" i="7" s="1"/>
  <c r="H79" i="7"/>
  <c r="G79" i="7"/>
  <c r="F79" i="7"/>
  <c r="I79" i="7" s="1"/>
  <c r="J79" i="7" s="1"/>
  <c r="K79" i="7" s="1"/>
  <c r="H78" i="7"/>
  <c r="G78" i="7"/>
  <c r="F78" i="7"/>
  <c r="H77" i="7"/>
  <c r="G77" i="7"/>
  <c r="F77" i="7"/>
  <c r="I77" i="7" s="1"/>
  <c r="J77" i="7" s="1"/>
  <c r="K77" i="7" s="1"/>
  <c r="H76" i="7"/>
  <c r="G76" i="7"/>
  <c r="F76" i="7"/>
  <c r="I76" i="7" s="1"/>
  <c r="J76" i="7" s="1"/>
  <c r="K76" i="7" s="1"/>
  <c r="H75" i="7"/>
  <c r="G75" i="7"/>
  <c r="F75" i="7"/>
  <c r="I75" i="7" s="1"/>
  <c r="J75" i="7" s="1"/>
  <c r="K75" i="7" s="1"/>
  <c r="H74" i="7"/>
  <c r="G74" i="7"/>
  <c r="F74" i="7"/>
  <c r="I74" i="7" s="1"/>
  <c r="J74" i="7" s="1"/>
  <c r="K74" i="7" s="1"/>
  <c r="H73" i="7"/>
  <c r="G73" i="7"/>
  <c r="F73" i="7"/>
  <c r="I73" i="7" s="1"/>
  <c r="J73" i="7" s="1"/>
  <c r="K73" i="7" s="1"/>
  <c r="H72" i="7"/>
  <c r="G72" i="7"/>
  <c r="F72" i="7"/>
  <c r="I72" i="7" s="1"/>
  <c r="J72" i="7" s="1"/>
  <c r="K72" i="7" s="1"/>
  <c r="H71" i="7"/>
  <c r="G71" i="7"/>
  <c r="F71" i="7"/>
  <c r="I71" i="7" s="1"/>
  <c r="J71" i="7" s="1"/>
  <c r="K71" i="7" s="1"/>
  <c r="H70" i="7"/>
  <c r="G70" i="7"/>
  <c r="F70" i="7"/>
  <c r="I70" i="7" s="1"/>
  <c r="J70" i="7" s="1"/>
  <c r="K70" i="7" s="1"/>
  <c r="H69" i="7"/>
  <c r="G69" i="7"/>
  <c r="F69" i="7"/>
  <c r="I69" i="7" s="1"/>
  <c r="J69" i="7" s="1"/>
  <c r="K69" i="7" s="1"/>
  <c r="H68" i="7"/>
  <c r="G68" i="7"/>
  <c r="F68" i="7"/>
  <c r="I68" i="7" s="1"/>
  <c r="J68" i="7" s="1"/>
  <c r="K68" i="7" s="1"/>
  <c r="H67" i="7"/>
  <c r="G67" i="7"/>
  <c r="F67" i="7"/>
  <c r="I67" i="7" s="1"/>
  <c r="J67" i="7" s="1"/>
  <c r="K67" i="7" s="1"/>
  <c r="H66" i="7"/>
  <c r="G66" i="7"/>
  <c r="F66" i="7"/>
  <c r="I66" i="7" s="1"/>
  <c r="J66" i="7" s="1"/>
  <c r="K66" i="7" s="1"/>
  <c r="H65" i="7"/>
  <c r="G65" i="7"/>
  <c r="F65" i="7"/>
  <c r="I65" i="7" s="1"/>
  <c r="J65" i="7" s="1"/>
  <c r="K65" i="7" s="1"/>
  <c r="H64" i="7"/>
  <c r="G64" i="7"/>
  <c r="F64" i="7"/>
  <c r="I64" i="7" s="1"/>
  <c r="J64" i="7" s="1"/>
  <c r="K64" i="7" s="1"/>
  <c r="H63" i="7"/>
  <c r="G63" i="7"/>
  <c r="F63" i="7"/>
  <c r="I63" i="7" s="1"/>
  <c r="J63" i="7" s="1"/>
  <c r="K63" i="7" s="1"/>
  <c r="H62" i="7"/>
  <c r="G62" i="7"/>
  <c r="F62" i="7"/>
  <c r="I62" i="7" s="1"/>
  <c r="J62" i="7" s="1"/>
  <c r="K62" i="7" s="1"/>
  <c r="H61" i="7"/>
  <c r="G61" i="7"/>
  <c r="F61" i="7"/>
  <c r="I61" i="7" s="1"/>
  <c r="J61" i="7" s="1"/>
  <c r="K61" i="7" s="1"/>
  <c r="H60" i="7"/>
  <c r="G60" i="7"/>
  <c r="F60" i="7"/>
  <c r="I60" i="7" s="1"/>
  <c r="J60" i="7" s="1"/>
  <c r="K60" i="7" s="1"/>
  <c r="H59" i="7"/>
  <c r="G59" i="7"/>
  <c r="F59" i="7"/>
  <c r="I59" i="7" s="1"/>
  <c r="J59" i="7" s="1"/>
  <c r="K59" i="7" s="1"/>
  <c r="H58" i="7"/>
  <c r="G58" i="7"/>
  <c r="F58" i="7"/>
  <c r="I58" i="7" s="1"/>
  <c r="J58" i="7" s="1"/>
  <c r="K58" i="7" s="1"/>
  <c r="H57" i="7"/>
  <c r="G57" i="7"/>
  <c r="F57" i="7"/>
  <c r="I57" i="7" s="1"/>
  <c r="J57" i="7" s="1"/>
  <c r="K57" i="7" s="1"/>
  <c r="H56" i="7"/>
  <c r="G56" i="7"/>
  <c r="F56" i="7"/>
  <c r="I56" i="7" s="1"/>
  <c r="J56" i="7" s="1"/>
  <c r="K56" i="7" s="1"/>
  <c r="H55" i="7"/>
  <c r="G55" i="7"/>
  <c r="F55" i="7"/>
  <c r="I55" i="7" s="1"/>
  <c r="J55" i="7" s="1"/>
  <c r="K55" i="7" s="1"/>
  <c r="H54" i="7"/>
  <c r="G54" i="7"/>
  <c r="F54" i="7"/>
  <c r="I54" i="7" s="1"/>
  <c r="J54" i="7" s="1"/>
  <c r="K54" i="7" s="1"/>
  <c r="H53" i="7"/>
  <c r="G53" i="7"/>
  <c r="F53" i="7"/>
  <c r="I53" i="7" s="1"/>
  <c r="J53" i="7" s="1"/>
  <c r="K53" i="7" s="1"/>
  <c r="H52" i="7"/>
  <c r="G52" i="7"/>
  <c r="F52" i="7"/>
  <c r="I52" i="7" s="1"/>
  <c r="J52" i="7" s="1"/>
  <c r="K52" i="7" s="1"/>
  <c r="H51" i="7"/>
  <c r="G51" i="7"/>
  <c r="F51" i="7"/>
  <c r="I51" i="7" s="1"/>
  <c r="J51" i="7" s="1"/>
  <c r="K51" i="7" s="1"/>
  <c r="H50" i="7"/>
  <c r="G50" i="7"/>
  <c r="F50" i="7"/>
  <c r="I50" i="7" s="1"/>
  <c r="J50" i="7" s="1"/>
  <c r="K50" i="7" s="1"/>
  <c r="H49" i="7"/>
  <c r="G49" i="7"/>
  <c r="F49" i="7"/>
  <c r="I49" i="7" s="1"/>
  <c r="J49" i="7" s="1"/>
  <c r="K49" i="7" s="1"/>
  <c r="H48" i="7"/>
  <c r="G48" i="7"/>
  <c r="F48" i="7"/>
  <c r="I48" i="7" s="1"/>
  <c r="J48" i="7" s="1"/>
  <c r="K48" i="7" s="1"/>
  <c r="H47" i="7"/>
  <c r="G47" i="7"/>
  <c r="F47" i="7"/>
  <c r="I47" i="7" s="1"/>
  <c r="J47" i="7" s="1"/>
  <c r="K47" i="7" s="1"/>
  <c r="H46" i="7"/>
  <c r="G46" i="7"/>
  <c r="F46" i="7"/>
  <c r="I46" i="7" s="1"/>
  <c r="J46" i="7" s="1"/>
  <c r="K46" i="7" s="1"/>
  <c r="H45" i="7"/>
  <c r="G45" i="7"/>
  <c r="F45" i="7"/>
  <c r="I45" i="7" s="1"/>
  <c r="J45" i="7" s="1"/>
  <c r="K45" i="7" s="1"/>
  <c r="H44" i="7"/>
  <c r="G44" i="7"/>
  <c r="F44" i="7"/>
  <c r="I44" i="7" s="1"/>
  <c r="J44" i="7" s="1"/>
  <c r="K44" i="7" s="1"/>
  <c r="H43" i="7"/>
  <c r="G43" i="7"/>
  <c r="F43" i="7"/>
  <c r="I43" i="7" s="1"/>
  <c r="J43" i="7" s="1"/>
  <c r="K43" i="7" s="1"/>
  <c r="H42" i="7"/>
  <c r="G42" i="7"/>
  <c r="F42" i="7"/>
  <c r="I42" i="7" s="1"/>
  <c r="J42" i="7" s="1"/>
  <c r="K42" i="7" s="1"/>
  <c r="H41" i="7"/>
  <c r="G41" i="7"/>
  <c r="F41" i="7"/>
  <c r="I41" i="7" s="1"/>
  <c r="J41" i="7" s="1"/>
  <c r="K41" i="7" s="1"/>
  <c r="H40" i="7"/>
  <c r="G40" i="7"/>
  <c r="F40" i="7"/>
  <c r="I40" i="7" s="1"/>
  <c r="J40" i="7" s="1"/>
  <c r="K40" i="7" s="1"/>
  <c r="H39" i="7"/>
  <c r="G39" i="7"/>
  <c r="F39" i="7"/>
  <c r="I39" i="7" s="1"/>
  <c r="J39" i="7" s="1"/>
  <c r="K39" i="7" s="1"/>
  <c r="H38" i="7"/>
  <c r="G38" i="7"/>
  <c r="F38" i="7"/>
  <c r="I38" i="7" s="1"/>
  <c r="J38" i="7" s="1"/>
  <c r="K38" i="7" s="1"/>
  <c r="H37" i="7"/>
  <c r="G37" i="7"/>
  <c r="F37" i="7"/>
  <c r="I37" i="7" s="1"/>
  <c r="J37" i="7" s="1"/>
  <c r="K37" i="7" s="1"/>
  <c r="H36" i="7"/>
  <c r="G36" i="7"/>
  <c r="F36" i="7"/>
  <c r="H35" i="7"/>
  <c r="G35" i="7"/>
  <c r="F35" i="7"/>
  <c r="I35" i="7" s="1"/>
  <c r="J35" i="7" s="1"/>
  <c r="K35" i="7" s="1"/>
  <c r="H34" i="7"/>
  <c r="G34" i="7"/>
  <c r="F34" i="7"/>
  <c r="H33" i="7"/>
  <c r="G33" i="7"/>
  <c r="F33" i="7"/>
  <c r="I33" i="7" s="1"/>
  <c r="J33" i="7" s="1"/>
  <c r="K33" i="7" s="1"/>
  <c r="H32" i="7"/>
  <c r="G32" i="7"/>
  <c r="F32" i="7"/>
  <c r="I32" i="7" s="1"/>
  <c r="J32" i="7" s="1"/>
  <c r="K32" i="7" s="1"/>
  <c r="H31" i="7"/>
  <c r="G31" i="7"/>
  <c r="F31" i="7"/>
  <c r="I31" i="7" s="1"/>
  <c r="J31" i="7" s="1"/>
  <c r="K31" i="7" s="1"/>
  <c r="H30" i="7"/>
  <c r="G30" i="7"/>
  <c r="F30" i="7"/>
  <c r="I30" i="7" s="1"/>
  <c r="J30" i="7" s="1"/>
  <c r="K30" i="7" s="1"/>
  <c r="H29" i="7"/>
  <c r="G29" i="7"/>
  <c r="F29" i="7"/>
  <c r="I29" i="7" s="1"/>
  <c r="J29" i="7" s="1"/>
  <c r="K29" i="7" s="1"/>
  <c r="H28" i="7"/>
  <c r="G28" i="7"/>
  <c r="F28" i="7"/>
  <c r="I28" i="7" s="1"/>
  <c r="J28" i="7" s="1"/>
  <c r="K28" i="7" s="1"/>
  <c r="H27" i="7"/>
  <c r="G27" i="7"/>
  <c r="F27" i="7"/>
  <c r="I27" i="7" s="1"/>
  <c r="J27" i="7" s="1"/>
  <c r="K27" i="7" s="1"/>
  <c r="H26" i="7"/>
  <c r="G26" i="7"/>
  <c r="F26" i="7"/>
  <c r="I26" i="7" s="1"/>
  <c r="J26" i="7" s="1"/>
  <c r="K26" i="7" s="1"/>
  <c r="H25" i="7"/>
  <c r="G25" i="7"/>
  <c r="F25" i="7"/>
  <c r="I25" i="7" s="1"/>
  <c r="J25" i="7" s="1"/>
  <c r="K25" i="7" s="1"/>
  <c r="H24" i="7"/>
  <c r="G24" i="7"/>
  <c r="F24" i="7"/>
  <c r="I24" i="7" s="1"/>
  <c r="J24" i="7" s="1"/>
  <c r="K24" i="7" s="1"/>
  <c r="H23" i="7"/>
  <c r="G23" i="7"/>
  <c r="F23" i="7"/>
  <c r="I23" i="7" s="1"/>
  <c r="J23" i="7" s="1"/>
  <c r="K23" i="7" s="1"/>
  <c r="H22" i="7"/>
  <c r="G22" i="7"/>
  <c r="F22" i="7"/>
  <c r="I22" i="7" s="1"/>
  <c r="J22" i="7" s="1"/>
  <c r="K22" i="7" s="1"/>
  <c r="H21" i="7"/>
  <c r="G21" i="7"/>
  <c r="F21" i="7"/>
  <c r="I21" i="7" s="1"/>
  <c r="J21" i="7" s="1"/>
  <c r="K21" i="7" s="1"/>
  <c r="H20" i="7"/>
  <c r="G20" i="7"/>
  <c r="F20" i="7"/>
  <c r="I20" i="7" s="1"/>
  <c r="J20" i="7" s="1"/>
  <c r="K20" i="7" s="1"/>
  <c r="H19" i="7"/>
  <c r="G19" i="7"/>
  <c r="F19" i="7"/>
  <c r="I19" i="7" s="1"/>
  <c r="J19" i="7" s="1"/>
  <c r="K19" i="7" s="1"/>
  <c r="H18" i="7"/>
  <c r="G18" i="7"/>
  <c r="F18" i="7"/>
  <c r="I18" i="7" s="1"/>
  <c r="J18" i="7" s="1"/>
  <c r="K18" i="7" s="1"/>
  <c r="H17" i="7"/>
  <c r="G17" i="7"/>
  <c r="F17" i="7"/>
  <c r="I17" i="7" s="1"/>
  <c r="J17" i="7" s="1"/>
  <c r="K17" i="7" s="1"/>
  <c r="H16" i="7"/>
  <c r="G16" i="7"/>
  <c r="F16" i="7"/>
  <c r="I16" i="7" s="1"/>
  <c r="J16" i="7" s="1"/>
  <c r="K16" i="7" s="1"/>
  <c r="H15" i="7"/>
  <c r="G15" i="7"/>
  <c r="F15" i="7"/>
  <c r="I15" i="7" s="1"/>
  <c r="J15" i="7" s="1"/>
  <c r="K15" i="7" s="1"/>
  <c r="H14" i="7"/>
  <c r="G14" i="7"/>
  <c r="F14" i="7"/>
  <c r="I14" i="7" s="1"/>
  <c r="J14" i="7" s="1"/>
  <c r="K14" i="7" s="1"/>
  <c r="H13" i="7"/>
  <c r="G13" i="7"/>
  <c r="F13" i="7"/>
  <c r="I13" i="7" s="1"/>
  <c r="J13" i="7" s="1"/>
  <c r="K13" i="7" s="1"/>
  <c r="H12" i="7"/>
  <c r="G12" i="7"/>
  <c r="F12" i="7"/>
  <c r="I12" i="7" s="1"/>
  <c r="J12" i="7" s="1"/>
  <c r="K12" i="7" s="1"/>
  <c r="H11" i="7"/>
  <c r="G11" i="7"/>
  <c r="F11" i="7"/>
  <c r="I11" i="7" s="1"/>
  <c r="J11" i="7" s="1"/>
  <c r="K11" i="7" s="1"/>
  <c r="H10" i="7"/>
  <c r="G10" i="7"/>
  <c r="F10" i="7"/>
  <c r="I10" i="7" s="1"/>
  <c r="J10" i="7" s="1"/>
  <c r="K10" i="7" s="1"/>
  <c r="H9" i="7"/>
  <c r="G9" i="7"/>
  <c r="F9" i="7"/>
  <c r="I9" i="7" s="1"/>
  <c r="J9" i="7" s="1"/>
  <c r="K9" i="7" s="1"/>
  <c r="H8" i="7"/>
  <c r="G8" i="7"/>
  <c r="F8" i="7"/>
  <c r="I8" i="7" s="1"/>
  <c r="J8" i="7" s="1"/>
  <c r="K8" i="7" s="1"/>
  <c r="H7" i="7"/>
  <c r="G7" i="7"/>
  <c r="F7" i="7"/>
  <c r="I7" i="7" s="1"/>
  <c r="J7" i="7" s="1"/>
  <c r="K7" i="7" s="1"/>
  <c r="H6" i="7"/>
  <c r="G6" i="7"/>
  <c r="F6" i="7"/>
  <c r="I6" i="7" s="1"/>
  <c r="J6" i="7" s="1"/>
  <c r="K6" i="7" s="1"/>
  <c r="H5" i="7"/>
  <c r="G5" i="7"/>
  <c r="F5" i="7"/>
  <c r="I5" i="7" s="1"/>
  <c r="J5" i="7" s="1"/>
  <c r="K5" i="7" s="1"/>
  <c r="W196" i="6"/>
  <c r="V196" i="6"/>
  <c r="U196" i="6"/>
  <c r="T196" i="6"/>
  <c r="E196" i="6"/>
  <c r="F196" i="6" s="1"/>
  <c r="G196" i="6" s="1"/>
  <c r="W195" i="6"/>
  <c r="V195" i="6"/>
  <c r="U195" i="6"/>
  <c r="T195" i="6"/>
  <c r="E195" i="6"/>
  <c r="F195" i="6" s="1"/>
  <c r="G195" i="6" s="1"/>
  <c r="W194" i="6"/>
  <c r="V194" i="6"/>
  <c r="U194" i="6"/>
  <c r="T194" i="6"/>
  <c r="E194" i="6"/>
  <c r="F194" i="6" s="1"/>
  <c r="G194" i="6" s="1"/>
  <c r="W193" i="6"/>
  <c r="V193" i="6"/>
  <c r="U193" i="6"/>
  <c r="T193" i="6"/>
  <c r="E193" i="6"/>
  <c r="F193" i="6" s="1"/>
  <c r="G193" i="6" s="1"/>
  <c r="W192" i="6"/>
  <c r="V192" i="6"/>
  <c r="U192" i="6"/>
  <c r="T192" i="6"/>
  <c r="E192" i="6"/>
  <c r="F192" i="6" s="1"/>
  <c r="G192" i="6" s="1"/>
  <c r="W191" i="6"/>
  <c r="V191" i="6"/>
  <c r="U191" i="6"/>
  <c r="T191" i="6"/>
  <c r="E191" i="6"/>
  <c r="F191" i="6" s="1"/>
  <c r="G191" i="6" s="1"/>
  <c r="W190" i="6"/>
  <c r="V190" i="6"/>
  <c r="U190" i="6"/>
  <c r="T190" i="6"/>
  <c r="E190" i="6"/>
  <c r="F190" i="6" s="1"/>
  <c r="G190" i="6" s="1"/>
  <c r="W189" i="6"/>
  <c r="V189" i="6"/>
  <c r="U189" i="6"/>
  <c r="T189" i="6"/>
  <c r="E189" i="6"/>
  <c r="F189" i="6" s="1"/>
  <c r="G189" i="6" s="1"/>
  <c r="W188" i="6"/>
  <c r="V188" i="6"/>
  <c r="U188" i="6"/>
  <c r="T188" i="6"/>
  <c r="E188" i="6"/>
  <c r="F188" i="6" s="1"/>
  <c r="G188" i="6" s="1"/>
  <c r="W187" i="6"/>
  <c r="V187" i="6"/>
  <c r="U187" i="6"/>
  <c r="T187" i="6"/>
  <c r="E187" i="6"/>
  <c r="F187" i="6" s="1"/>
  <c r="G187" i="6" s="1"/>
  <c r="W186" i="6"/>
  <c r="V186" i="6"/>
  <c r="U186" i="6"/>
  <c r="T186" i="6"/>
  <c r="E186" i="6"/>
  <c r="F186" i="6" s="1"/>
  <c r="G186" i="6" s="1"/>
  <c r="W185" i="6"/>
  <c r="V185" i="6"/>
  <c r="U185" i="6"/>
  <c r="T185" i="6"/>
  <c r="E185" i="6"/>
  <c r="F185" i="6" s="1"/>
  <c r="G185" i="6" s="1"/>
  <c r="W184" i="6"/>
  <c r="V184" i="6"/>
  <c r="U184" i="6"/>
  <c r="T184" i="6"/>
  <c r="E184" i="6"/>
  <c r="F184" i="6" s="1"/>
  <c r="G184" i="6" s="1"/>
  <c r="W183" i="6"/>
  <c r="V183" i="6"/>
  <c r="U183" i="6"/>
  <c r="T183" i="6"/>
  <c r="E183" i="6"/>
  <c r="F183" i="6" s="1"/>
  <c r="G183" i="6" s="1"/>
  <c r="W182" i="6"/>
  <c r="V182" i="6"/>
  <c r="U182" i="6"/>
  <c r="T182" i="6"/>
  <c r="E182" i="6"/>
  <c r="F182" i="6" s="1"/>
  <c r="G182" i="6" s="1"/>
  <c r="W181" i="6"/>
  <c r="V181" i="6"/>
  <c r="U181" i="6"/>
  <c r="T181" i="6"/>
  <c r="E181" i="6"/>
  <c r="F181" i="6" s="1"/>
  <c r="G181" i="6" s="1"/>
  <c r="W180" i="6"/>
  <c r="V180" i="6"/>
  <c r="U180" i="6"/>
  <c r="T180" i="6"/>
  <c r="E180" i="6"/>
  <c r="F180" i="6" s="1"/>
  <c r="G180" i="6" s="1"/>
  <c r="W179" i="6"/>
  <c r="V179" i="6"/>
  <c r="U179" i="6"/>
  <c r="T179" i="6"/>
  <c r="E179" i="6"/>
  <c r="F179" i="6" s="1"/>
  <c r="G179" i="6" s="1"/>
  <c r="W178" i="6"/>
  <c r="V178" i="6"/>
  <c r="U178" i="6"/>
  <c r="T178" i="6"/>
  <c r="E178" i="6"/>
  <c r="F178" i="6" s="1"/>
  <c r="G178" i="6" s="1"/>
  <c r="W177" i="6"/>
  <c r="V177" i="6"/>
  <c r="U177" i="6"/>
  <c r="T177" i="6"/>
  <c r="E177" i="6"/>
  <c r="F177" i="6" s="1"/>
  <c r="G177" i="6" s="1"/>
  <c r="W176" i="6"/>
  <c r="V176" i="6"/>
  <c r="U176" i="6"/>
  <c r="T176" i="6"/>
  <c r="E176" i="6"/>
  <c r="F176" i="6" s="1"/>
  <c r="G176" i="6" s="1"/>
  <c r="W175" i="6"/>
  <c r="V175" i="6"/>
  <c r="U175" i="6"/>
  <c r="T175" i="6"/>
  <c r="E175" i="6"/>
  <c r="F175" i="6" s="1"/>
  <c r="G175" i="6" s="1"/>
  <c r="W174" i="6"/>
  <c r="V174" i="6"/>
  <c r="U174" i="6"/>
  <c r="T174" i="6"/>
  <c r="E174" i="6"/>
  <c r="F174" i="6" s="1"/>
  <c r="G174" i="6" s="1"/>
  <c r="W173" i="6"/>
  <c r="V173" i="6"/>
  <c r="U173" i="6"/>
  <c r="T173" i="6"/>
  <c r="E173" i="6"/>
  <c r="F173" i="6" s="1"/>
  <c r="G173" i="6" s="1"/>
  <c r="W172" i="6"/>
  <c r="V172" i="6"/>
  <c r="U172" i="6"/>
  <c r="T172" i="6"/>
  <c r="E172" i="6"/>
  <c r="F172" i="6" s="1"/>
  <c r="G172" i="6" s="1"/>
  <c r="W171" i="6"/>
  <c r="V171" i="6"/>
  <c r="U171" i="6"/>
  <c r="T171" i="6"/>
  <c r="E171" i="6"/>
  <c r="F171" i="6" s="1"/>
  <c r="G171" i="6" s="1"/>
  <c r="W170" i="6"/>
  <c r="V170" i="6"/>
  <c r="U170" i="6"/>
  <c r="T170" i="6"/>
  <c r="E170" i="6"/>
  <c r="F170" i="6" s="1"/>
  <c r="G170" i="6" s="1"/>
  <c r="W169" i="6"/>
  <c r="V169" i="6"/>
  <c r="U169" i="6"/>
  <c r="T169" i="6"/>
  <c r="E169" i="6"/>
  <c r="F169" i="6" s="1"/>
  <c r="G169" i="6" s="1"/>
  <c r="W168" i="6"/>
  <c r="V168" i="6"/>
  <c r="U168" i="6"/>
  <c r="T168" i="6"/>
  <c r="E168" i="6"/>
  <c r="F168" i="6" s="1"/>
  <c r="G168" i="6" s="1"/>
  <c r="W167" i="6"/>
  <c r="V167" i="6"/>
  <c r="U167" i="6"/>
  <c r="T167" i="6"/>
  <c r="E167" i="6"/>
  <c r="F167" i="6" s="1"/>
  <c r="G167" i="6" s="1"/>
  <c r="W166" i="6"/>
  <c r="V166" i="6"/>
  <c r="U166" i="6"/>
  <c r="T166" i="6"/>
  <c r="E166" i="6"/>
  <c r="F166" i="6" s="1"/>
  <c r="G166" i="6" s="1"/>
  <c r="W165" i="6"/>
  <c r="V165" i="6"/>
  <c r="U165" i="6"/>
  <c r="T165" i="6"/>
  <c r="E165" i="6"/>
  <c r="F165" i="6" s="1"/>
  <c r="G165" i="6" s="1"/>
  <c r="W164" i="6"/>
  <c r="V164" i="6"/>
  <c r="U164" i="6"/>
  <c r="T164" i="6"/>
  <c r="E164" i="6"/>
  <c r="F164" i="6" s="1"/>
  <c r="G164" i="6" s="1"/>
  <c r="W163" i="6"/>
  <c r="V163" i="6"/>
  <c r="U163" i="6"/>
  <c r="T163" i="6"/>
  <c r="E163" i="6"/>
  <c r="F163" i="6" s="1"/>
  <c r="G163" i="6" s="1"/>
  <c r="W162" i="6"/>
  <c r="V162" i="6"/>
  <c r="U162" i="6"/>
  <c r="T162" i="6"/>
  <c r="E162" i="6"/>
  <c r="F162" i="6" s="1"/>
  <c r="G162" i="6" s="1"/>
  <c r="W161" i="6"/>
  <c r="V161" i="6"/>
  <c r="U161" i="6"/>
  <c r="T161" i="6"/>
  <c r="E161" i="6"/>
  <c r="F161" i="6" s="1"/>
  <c r="G161" i="6" s="1"/>
  <c r="W160" i="6"/>
  <c r="V160" i="6"/>
  <c r="U160" i="6"/>
  <c r="T160" i="6"/>
  <c r="K160" i="6"/>
  <c r="H160" i="6"/>
  <c r="E160" i="6"/>
  <c r="F160" i="6" s="1"/>
  <c r="G160" i="6" s="1"/>
  <c r="W159" i="6"/>
  <c r="V159" i="6"/>
  <c r="U159" i="6"/>
  <c r="T159" i="6"/>
  <c r="K159" i="6"/>
  <c r="H159" i="6"/>
  <c r="E159" i="6"/>
  <c r="F159" i="6" s="1"/>
  <c r="G159" i="6" s="1"/>
  <c r="W158" i="6"/>
  <c r="V158" i="6"/>
  <c r="U158" i="6"/>
  <c r="T158" i="6"/>
  <c r="H158" i="6"/>
  <c r="E158" i="6"/>
  <c r="F158" i="6" s="1"/>
  <c r="G158" i="6" s="1"/>
  <c r="W157" i="6"/>
  <c r="V157" i="6"/>
  <c r="U157" i="6"/>
  <c r="T157" i="6"/>
  <c r="K157" i="6"/>
  <c r="H157" i="6"/>
  <c r="E157" i="6"/>
  <c r="F157" i="6" s="1"/>
  <c r="G157" i="6" s="1"/>
  <c r="W156" i="6"/>
  <c r="V156" i="6"/>
  <c r="U156" i="6"/>
  <c r="T156" i="6"/>
  <c r="K156" i="6"/>
  <c r="H156" i="6"/>
  <c r="E156" i="6"/>
  <c r="F156" i="6" s="1"/>
  <c r="G156" i="6" s="1"/>
  <c r="W155" i="6"/>
  <c r="V155" i="6"/>
  <c r="U155" i="6"/>
  <c r="T155" i="6"/>
  <c r="K155" i="6"/>
  <c r="H155" i="6"/>
  <c r="E155" i="6"/>
  <c r="F155" i="6" s="1"/>
  <c r="G155" i="6" s="1"/>
  <c r="W154" i="6"/>
  <c r="V154" i="6"/>
  <c r="U154" i="6"/>
  <c r="T154" i="6"/>
  <c r="K154" i="6"/>
  <c r="H154" i="6"/>
  <c r="E154" i="6"/>
  <c r="F154" i="6" s="1"/>
  <c r="G154" i="6" s="1"/>
  <c r="W153" i="6"/>
  <c r="V153" i="6"/>
  <c r="U153" i="6"/>
  <c r="T153" i="6"/>
  <c r="K153" i="6"/>
  <c r="H153" i="6"/>
  <c r="E153" i="6"/>
  <c r="F153" i="6" s="1"/>
  <c r="G153" i="6" s="1"/>
  <c r="W152" i="6"/>
  <c r="V152" i="6"/>
  <c r="U152" i="6"/>
  <c r="T152" i="6"/>
  <c r="K152" i="6"/>
  <c r="H152" i="6"/>
  <c r="E152" i="6"/>
  <c r="F152" i="6" s="1"/>
  <c r="G152" i="6" s="1"/>
  <c r="W151" i="6"/>
  <c r="V151" i="6"/>
  <c r="U151" i="6"/>
  <c r="T151" i="6"/>
  <c r="K151" i="6"/>
  <c r="H151" i="6"/>
  <c r="E151" i="6"/>
  <c r="F151" i="6" s="1"/>
  <c r="G151" i="6" s="1"/>
  <c r="W150" i="6"/>
  <c r="V150" i="6"/>
  <c r="U150" i="6"/>
  <c r="T150" i="6"/>
  <c r="K150" i="6"/>
  <c r="H150" i="6"/>
  <c r="E150" i="6"/>
  <c r="F150" i="6" s="1"/>
  <c r="G150" i="6" s="1"/>
  <c r="W149" i="6"/>
  <c r="V149" i="6"/>
  <c r="U149" i="6"/>
  <c r="T149" i="6"/>
  <c r="K149" i="6"/>
  <c r="H149" i="6"/>
  <c r="E149" i="6"/>
  <c r="F149" i="6" s="1"/>
  <c r="G149" i="6" s="1"/>
  <c r="W148" i="6"/>
  <c r="V148" i="6"/>
  <c r="U148" i="6"/>
  <c r="T148" i="6"/>
  <c r="K148" i="6"/>
  <c r="H148" i="6"/>
  <c r="E148" i="6"/>
  <c r="F148" i="6" s="1"/>
  <c r="G148" i="6" s="1"/>
  <c r="W147" i="6"/>
  <c r="V147" i="6"/>
  <c r="U147" i="6"/>
  <c r="T147" i="6"/>
  <c r="K147" i="6"/>
  <c r="H147" i="6"/>
  <c r="E147" i="6"/>
  <c r="F147" i="6" s="1"/>
  <c r="G147" i="6" s="1"/>
  <c r="W146" i="6"/>
  <c r="V146" i="6"/>
  <c r="U146" i="6"/>
  <c r="T146" i="6"/>
  <c r="K146" i="6"/>
  <c r="H146" i="6"/>
  <c r="E146" i="6"/>
  <c r="F146" i="6" s="1"/>
  <c r="G146" i="6" s="1"/>
  <c r="W145" i="6"/>
  <c r="V145" i="6"/>
  <c r="U145" i="6"/>
  <c r="T145" i="6"/>
  <c r="K145" i="6"/>
  <c r="H145" i="6"/>
  <c r="E145" i="6"/>
  <c r="F145" i="6" s="1"/>
  <c r="G145" i="6" s="1"/>
  <c r="W144" i="6"/>
  <c r="V144" i="6"/>
  <c r="U144" i="6"/>
  <c r="T144" i="6"/>
  <c r="K144" i="6"/>
  <c r="H144" i="6"/>
  <c r="E144" i="6"/>
  <c r="F144" i="6" s="1"/>
  <c r="G144" i="6" s="1"/>
  <c r="W143" i="6"/>
  <c r="V143" i="6"/>
  <c r="U143" i="6"/>
  <c r="T143" i="6"/>
  <c r="K143" i="6"/>
  <c r="H143" i="6"/>
  <c r="E143" i="6"/>
  <c r="F143" i="6" s="1"/>
  <c r="G143" i="6" s="1"/>
  <c r="W142" i="6"/>
  <c r="V142" i="6"/>
  <c r="U142" i="6"/>
  <c r="T142" i="6"/>
  <c r="K142" i="6"/>
  <c r="H142" i="6"/>
  <c r="E142" i="6"/>
  <c r="F142" i="6" s="1"/>
  <c r="G142" i="6" s="1"/>
  <c r="W141" i="6"/>
  <c r="V141" i="6"/>
  <c r="U141" i="6"/>
  <c r="T141" i="6"/>
  <c r="K141" i="6"/>
  <c r="H141" i="6"/>
  <c r="E141" i="6"/>
  <c r="F141" i="6" s="1"/>
  <c r="G141" i="6" s="1"/>
  <c r="W140" i="6"/>
  <c r="V140" i="6"/>
  <c r="U140" i="6"/>
  <c r="T140" i="6"/>
  <c r="K140" i="6"/>
  <c r="H140" i="6"/>
  <c r="E140" i="6"/>
  <c r="F140" i="6" s="1"/>
  <c r="G140" i="6" s="1"/>
  <c r="W139" i="6"/>
  <c r="V139" i="6"/>
  <c r="U139" i="6"/>
  <c r="T139" i="6"/>
  <c r="K139" i="6"/>
  <c r="H139" i="6"/>
  <c r="E139" i="6"/>
  <c r="F139" i="6" s="1"/>
  <c r="G139" i="6" s="1"/>
  <c r="W138" i="6"/>
  <c r="V138" i="6"/>
  <c r="U138" i="6"/>
  <c r="T138" i="6"/>
  <c r="K138" i="6"/>
  <c r="H138" i="6"/>
  <c r="E138" i="6"/>
  <c r="F138" i="6" s="1"/>
  <c r="G138" i="6" s="1"/>
  <c r="W137" i="6"/>
  <c r="V137" i="6"/>
  <c r="U137" i="6"/>
  <c r="T137" i="6"/>
  <c r="K137" i="6"/>
  <c r="H137" i="6"/>
  <c r="E137" i="6"/>
  <c r="F137" i="6" s="1"/>
  <c r="G137" i="6" s="1"/>
  <c r="AE136" i="6"/>
  <c r="W136" i="6"/>
  <c r="V136" i="6"/>
  <c r="U136" i="6"/>
  <c r="T136" i="6"/>
  <c r="K136" i="6"/>
  <c r="J136" i="6"/>
  <c r="I136" i="6"/>
  <c r="H136" i="6"/>
  <c r="G136" i="6"/>
  <c r="F136" i="6"/>
  <c r="E136" i="6"/>
  <c r="AE135" i="6"/>
  <c r="W135" i="6"/>
  <c r="V135" i="6"/>
  <c r="U135" i="6"/>
  <c r="T135" i="6"/>
  <c r="K135" i="6"/>
  <c r="J135" i="6"/>
  <c r="I135" i="6"/>
  <c r="H135" i="6"/>
  <c r="G135" i="6"/>
  <c r="F135" i="6"/>
  <c r="E135" i="6"/>
  <c r="AE134" i="6"/>
  <c r="W134" i="6"/>
  <c r="V134" i="6"/>
  <c r="U134" i="6"/>
  <c r="T134" i="6"/>
  <c r="K134" i="6"/>
  <c r="J134" i="6"/>
  <c r="I134" i="6"/>
  <c r="H134" i="6"/>
  <c r="G134" i="6"/>
  <c r="F134" i="6"/>
  <c r="E134" i="6"/>
  <c r="AE133" i="6"/>
  <c r="W133" i="6"/>
  <c r="V133" i="6"/>
  <c r="U133" i="6"/>
  <c r="T133" i="6"/>
  <c r="L133" i="6"/>
  <c r="K133" i="6"/>
  <c r="J133" i="6"/>
  <c r="I133" i="6"/>
  <c r="H133" i="6"/>
  <c r="G133" i="6"/>
  <c r="F133" i="6"/>
  <c r="E133" i="6"/>
  <c r="V132" i="6"/>
  <c r="U132" i="6"/>
  <c r="T132" i="6"/>
  <c r="H132" i="6"/>
  <c r="E132" i="6"/>
  <c r="F132" i="6" s="1"/>
  <c r="G132" i="6" s="1"/>
  <c r="V131" i="6"/>
  <c r="U131" i="6"/>
  <c r="T131" i="6"/>
  <c r="H131" i="6"/>
  <c r="E131" i="6"/>
  <c r="F131" i="6" s="1"/>
  <c r="G131" i="6" s="1"/>
  <c r="V130" i="6"/>
  <c r="U130" i="6"/>
  <c r="T130" i="6"/>
  <c r="H130" i="6"/>
  <c r="E130" i="6"/>
  <c r="F130" i="6" s="1"/>
  <c r="G130" i="6" s="1"/>
  <c r="V129" i="6"/>
  <c r="U129" i="6"/>
  <c r="T129" i="6"/>
  <c r="H129" i="6"/>
  <c r="E129" i="6"/>
  <c r="F129" i="6" s="1"/>
  <c r="G129" i="6" s="1"/>
  <c r="V128" i="6"/>
  <c r="U128" i="6"/>
  <c r="T128" i="6"/>
  <c r="H128" i="6"/>
  <c r="E128" i="6"/>
  <c r="F128" i="6" s="1"/>
  <c r="G128" i="6" s="1"/>
  <c r="V127" i="6"/>
  <c r="U127" i="6"/>
  <c r="T127" i="6"/>
  <c r="H127" i="6"/>
  <c r="E127" i="6"/>
  <c r="F127" i="6" s="1"/>
  <c r="G127" i="6" s="1"/>
  <c r="V126" i="6"/>
  <c r="U126" i="6"/>
  <c r="T126" i="6"/>
  <c r="H126" i="6"/>
  <c r="E126" i="6"/>
  <c r="F126" i="6" s="1"/>
  <c r="G126" i="6" s="1"/>
  <c r="V125" i="6"/>
  <c r="U125" i="6"/>
  <c r="T125" i="6"/>
  <c r="H125" i="6"/>
  <c r="E125" i="6"/>
  <c r="F125" i="6" s="1"/>
  <c r="G125" i="6" s="1"/>
  <c r="V124" i="6"/>
  <c r="U124" i="6"/>
  <c r="T124" i="6"/>
  <c r="H124" i="6"/>
  <c r="E124" i="6"/>
  <c r="F124" i="6" s="1"/>
  <c r="G124" i="6" s="1"/>
  <c r="V123" i="6"/>
  <c r="U123" i="6"/>
  <c r="T123" i="6"/>
  <c r="H123" i="6"/>
  <c r="E123" i="6"/>
  <c r="F123" i="6" s="1"/>
  <c r="G123" i="6" s="1"/>
  <c r="V122" i="6"/>
  <c r="U122" i="6"/>
  <c r="T122" i="6"/>
  <c r="H122" i="6"/>
  <c r="E122" i="6"/>
  <c r="F122" i="6" s="1"/>
  <c r="G122" i="6" s="1"/>
  <c r="V121" i="6"/>
  <c r="U121" i="6"/>
  <c r="T121" i="6"/>
  <c r="H121" i="6"/>
  <c r="E121" i="6"/>
  <c r="F121" i="6" s="1"/>
  <c r="G121" i="6" s="1"/>
  <c r="V120" i="6"/>
  <c r="U120" i="6"/>
  <c r="T120" i="6"/>
  <c r="H120" i="6"/>
  <c r="E120" i="6"/>
  <c r="F120" i="6" s="1"/>
  <c r="G120" i="6" s="1"/>
  <c r="V119" i="6"/>
  <c r="U119" i="6"/>
  <c r="T119" i="6"/>
  <c r="H119" i="6"/>
  <c r="E119" i="6"/>
  <c r="F119" i="6" s="1"/>
  <c r="G119" i="6" s="1"/>
  <c r="V118" i="6"/>
  <c r="U118" i="6"/>
  <c r="T118" i="6"/>
  <c r="H118" i="6"/>
  <c r="E118" i="6"/>
  <c r="F118" i="6" s="1"/>
  <c r="G118" i="6" s="1"/>
  <c r="V117" i="6"/>
  <c r="U117" i="6"/>
  <c r="T117" i="6"/>
  <c r="H117" i="6"/>
  <c r="E117" i="6"/>
  <c r="F117" i="6" s="1"/>
  <c r="G117" i="6" s="1"/>
  <c r="V116" i="6"/>
  <c r="U116" i="6"/>
  <c r="T116" i="6"/>
  <c r="H116" i="6"/>
  <c r="E116" i="6"/>
  <c r="F116" i="6" s="1"/>
  <c r="G116" i="6" s="1"/>
  <c r="V115" i="6"/>
  <c r="U115" i="6"/>
  <c r="T115" i="6"/>
  <c r="H115" i="6"/>
  <c r="E115" i="6"/>
  <c r="F115" i="6" s="1"/>
  <c r="G115" i="6" s="1"/>
  <c r="V114" i="6"/>
  <c r="U114" i="6"/>
  <c r="T114" i="6"/>
  <c r="H114" i="6"/>
  <c r="E114" i="6"/>
  <c r="F114" i="6" s="1"/>
  <c r="G114" i="6" s="1"/>
  <c r="V113" i="6"/>
  <c r="U113" i="6"/>
  <c r="T113" i="6"/>
  <c r="H113" i="6"/>
  <c r="E113" i="6"/>
  <c r="F113" i="6" s="1"/>
  <c r="G113" i="6" s="1"/>
  <c r="V112" i="6"/>
  <c r="U112" i="6"/>
  <c r="T112" i="6"/>
  <c r="H112" i="6"/>
  <c r="E112" i="6"/>
  <c r="F112" i="6" s="1"/>
  <c r="G112" i="6" s="1"/>
  <c r="V111" i="6"/>
  <c r="U111" i="6"/>
  <c r="T111" i="6"/>
  <c r="H111" i="6"/>
  <c r="E111" i="6"/>
  <c r="F111" i="6" s="1"/>
  <c r="G111" i="6" s="1"/>
  <c r="V110" i="6"/>
  <c r="U110" i="6"/>
  <c r="T110" i="6"/>
  <c r="H110" i="6"/>
  <c r="E110" i="6"/>
  <c r="F110" i="6" s="1"/>
  <c r="G110" i="6" s="1"/>
  <c r="V109" i="6"/>
  <c r="U109" i="6"/>
  <c r="T109" i="6"/>
  <c r="H109" i="6"/>
  <c r="E109" i="6"/>
  <c r="F109" i="6" s="1"/>
  <c r="G109" i="6" s="1"/>
  <c r="V108" i="6"/>
  <c r="U108" i="6"/>
  <c r="T108" i="6"/>
  <c r="H108" i="6"/>
  <c r="E108" i="6"/>
  <c r="F108" i="6" s="1"/>
  <c r="G108" i="6" s="1"/>
  <c r="V107" i="6"/>
  <c r="U107" i="6"/>
  <c r="T107" i="6"/>
  <c r="H107" i="6"/>
  <c r="E107" i="6"/>
  <c r="F107" i="6" s="1"/>
  <c r="G107" i="6" s="1"/>
  <c r="V106" i="6"/>
  <c r="U106" i="6"/>
  <c r="T106" i="6"/>
  <c r="H106" i="6"/>
  <c r="E106" i="6"/>
  <c r="F106" i="6" s="1"/>
  <c r="G106" i="6" s="1"/>
  <c r="V105" i="6"/>
  <c r="U105" i="6"/>
  <c r="T105" i="6"/>
  <c r="H105" i="6"/>
  <c r="E105" i="6"/>
  <c r="F105" i="6" s="1"/>
  <c r="G105" i="6" s="1"/>
  <c r="V104" i="6"/>
  <c r="U104" i="6"/>
  <c r="T104" i="6"/>
  <c r="H104" i="6"/>
  <c r="E104" i="6"/>
  <c r="F104" i="6" s="1"/>
  <c r="G104" i="6" s="1"/>
  <c r="V103" i="6"/>
  <c r="U103" i="6"/>
  <c r="T103" i="6"/>
  <c r="H103" i="6"/>
  <c r="E103" i="6"/>
  <c r="F103" i="6" s="1"/>
  <c r="G103" i="6" s="1"/>
  <c r="V102" i="6"/>
  <c r="U102" i="6"/>
  <c r="T102" i="6"/>
  <c r="H102" i="6"/>
  <c r="E102" i="6"/>
  <c r="F102" i="6" s="1"/>
  <c r="G102" i="6" s="1"/>
  <c r="V101" i="6"/>
  <c r="U101" i="6"/>
  <c r="T101" i="6"/>
  <c r="H101" i="6"/>
  <c r="E101" i="6"/>
  <c r="F101" i="6" s="1"/>
  <c r="G101" i="6" s="1"/>
  <c r="V100" i="6"/>
  <c r="U100" i="6"/>
  <c r="T100" i="6"/>
  <c r="H100" i="6"/>
  <c r="E100" i="6"/>
  <c r="F100" i="6" s="1"/>
  <c r="G100" i="6" s="1"/>
  <c r="V99" i="6"/>
  <c r="U99" i="6"/>
  <c r="T99" i="6"/>
  <c r="H99" i="6"/>
  <c r="E99" i="6"/>
  <c r="F99" i="6" s="1"/>
  <c r="G99" i="6" s="1"/>
  <c r="V98" i="6"/>
  <c r="U98" i="6"/>
  <c r="T98" i="6"/>
  <c r="H98" i="6"/>
  <c r="E98" i="6"/>
  <c r="F98" i="6" s="1"/>
  <c r="G98" i="6" s="1"/>
  <c r="V97" i="6"/>
  <c r="U97" i="6"/>
  <c r="T97" i="6"/>
  <c r="H97" i="6"/>
  <c r="E97" i="6"/>
  <c r="F97" i="6" s="1"/>
  <c r="G97" i="6" s="1"/>
  <c r="V96" i="6"/>
  <c r="U96" i="6"/>
  <c r="T96" i="6"/>
  <c r="H96" i="6"/>
  <c r="E96" i="6"/>
  <c r="F96" i="6" s="1"/>
  <c r="G96" i="6" s="1"/>
  <c r="V95" i="6"/>
  <c r="U95" i="6"/>
  <c r="T95" i="6"/>
  <c r="H95" i="6"/>
  <c r="E95" i="6"/>
  <c r="F95" i="6" s="1"/>
  <c r="G95" i="6" s="1"/>
  <c r="V94" i="6"/>
  <c r="U94" i="6"/>
  <c r="T94" i="6"/>
  <c r="H94" i="6"/>
  <c r="E94" i="6"/>
  <c r="F94" i="6" s="1"/>
  <c r="G94" i="6" s="1"/>
  <c r="V93" i="6"/>
  <c r="U93" i="6"/>
  <c r="T93" i="6"/>
  <c r="H93" i="6"/>
  <c r="E93" i="6"/>
  <c r="F93" i="6" s="1"/>
  <c r="G93" i="6" s="1"/>
  <c r="V92" i="6"/>
  <c r="U92" i="6"/>
  <c r="T92" i="6"/>
  <c r="K92" i="6"/>
  <c r="H92" i="6"/>
  <c r="E92" i="6"/>
  <c r="F92" i="6" s="1"/>
  <c r="G92" i="6" s="1"/>
  <c r="V91" i="6"/>
  <c r="U91" i="6"/>
  <c r="T91" i="6"/>
  <c r="K91" i="6"/>
  <c r="H91" i="6"/>
  <c r="E91" i="6"/>
  <c r="F91" i="6" s="1"/>
  <c r="G91" i="6" s="1"/>
  <c r="V90" i="6"/>
  <c r="U90" i="6"/>
  <c r="T90" i="6"/>
  <c r="K90" i="6"/>
  <c r="H90" i="6"/>
  <c r="E90" i="6"/>
  <c r="F90" i="6" s="1"/>
  <c r="G90" i="6" s="1"/>
  <c r="V89" i="6"/>
  <c r="U89" i="6"/>
  <c r="T89" i="6"/>
  <c r="K89" i="6"/>
  <c r="H89" i="6"/>
  <c r="E89" i="6"/>
  <c r="F89" i="6" s="1"/>
  <c r="G89" i="6" s="1"/>
  <c r="V88" i="6"/>
  <c r="U88" i="6"/>
  <c r="T88" i="6"/>
  <c r="K88" i="6"/>
  <c r="H88" i="6"/>
  <c r="E88" i="6"/>
  <c r="F88" i="6" s="1"/>
  <c r="G88" i="6" s="1"/>
  <c r="V87" i="6"/>
  <c r="U87" i="6"/>
  <c r="T87" i="6"/>
  <c r="K87" i="6"/>
  <c r="H87" i="6"/>
  <c r="E87" i="6"/>
  <c r="F87" i="6" s="1"/>
  <c r="G87" i="6" s="1"/>
  <c r="V86" i="6"/>
  <c r="U86" i="6"/>
  <c r="T86" i="6"/>
  <c r="K86" i="6"/>
  <c r="H86" i="6"/>
  <c r="E86" i="6"/>
  <c r="F86" i="6" s="1"/>
  <c r="G86" i="6" s="1"/>
  <c r="V85" i="6"/>
  <c r="U85" i="6"/>
  <c r="T85" i="6"/>
  <c r="K85" i="6"/>
  <c r="H85" i="6"/>
  <c r="E85" i="6"/>
  <c r="F85" i="6" s="1"/>
  <c r="G85" i="6" s="1"/>
  <c r="V84" i="6"/>
  <c r="U84" i="6"/>
  <c r="T84" i="6"/>
  <c r="K84" i="6"/>
  <c r="H84" i="6"/>
  <c r="E84" i="6"/>
  <c r="F84" i="6" s="1"/>
  <c r="G84" i="6" s="1"/>
  <c r="V83" i="6"/>
  <c r="U83" i="6"/>
  <c r="T83" i="6"/>
  <c r="K83" i="6"/>
  <c r="H83" i="6"/>
  <c r="E83" i="6"/>
  <c r="F83" i="6" s="1"/>
  <c r="G83" i="6" s="1"/>
  <c r="V82" i="6"/>
  <c r="U82" i="6"/>
  <c r="T82" i="6"/>
  <c r="K82" i="6"/>
  <c r="H82" i="6"/>
  <c r="E82" i="6"/>
  <c r="F82" i="6" s="1"/>
  <c r="G82" i="6" s="1"/>
  <c r="V81" i="6"/>
  <c r="U81" i="6"/>
  <c r="T81" i="6"/>
  <c r="K81" i="6"/>
  <c r="H81" i="6"/>
  <c r="E81" i="6"/>
  <c r="F81" i="6" s="1"/>
  <c r="G81" i="6" s="1"/>
  <c r="V80" i="6"/>
  <c r="U80" i="6"/>
  <c r="T80" i="6"/>
  <c r="K80" i="6"/>
  <c r="H80" i="6"/>
  <c r="E80" i="6"/>
  <c r="F80" i="6" s="1"/>
  <c r="G80" i="6" s="1"/>
  <c r="V79" i="6"/>
  <c r="U79" i="6"/>
  <c r="T79" i="6"/>
  <c r="K79" i="6"/>
  <c r="H79" i="6"/>
  <c r="E79" i="6"/>
  <c r="F79" i="6" s="1"/>
  <c r="G79" i="6" s="1"/>
  <c r="V78" i="6"/>
  <c r="U78" i="6"/>
  <c r="T78" i="6"/>
  <c r="K78" i="6"/>
  <c r="H78" i="6"/>
  <c r="E78" i="6"/>
  <c r="F78" i="6" s="1"/>
  <c r="G78" i="6" s="1"/>
  <c r="V77" i="6"/>
  <c r="U77" i="6"/>
  <c r="T77" i="6"/>
  <c r="K77" i="6"/>
  <c r="H77" i="6"/>
  <c r="E77" i="6"/>
  <c r="F77" i="6" s="1"/>
  <c r="G77" i="6" s="1"/>
  <c r="V76" i="6"/>
  <c r="U76" i="6"/>
  <c r="T76" i="6"/>
  <c r="K76" i="6"/>
  <c r="H76" i="6"/>
  <c r="E76" i="6"/>
  <c r="F76" i="6" s="1"/>
  <c r="G76" i="6" s="1"/>
  <c r="V75" i="6"/>
  <c r="U75" i="6"/>
  <c r="T75" i="6"/>
  <c r="K75" i="6"/>
  <c r="H75" i="6"/>
  <c r="E75" i="6"/>
  <c r="F75" i="6" s="1"/>
  <c r="G75" i="6" s="1"/>
  <c r="V74" i="6"/>
  <c r="U74" i="6"/>
  <c r="T74" i="6"/>
  <c r="K74" i="6"/>
  <c r="H74" i="6"/>
  <c r="E74" i="6"/>
  <c r="F74" i="6" s="1"/>
  <c r="G74" i="6" s="1"/>
  <c r="V73" i="6"/>
  <c r="U73" i="6"/>
  <c r="T73" i="6"/>
  <c r="K73" i="6"/>
  <c r="H73" i="6"/>
  <c r="E73" i="6"/>
  <c r="F73" i="6" s="1"/>
  <c r="G73" i="6" s="1"/>
  <c r="AE72" i="6"/>
  <c r="W72" i="6"/>
  <c r="V72" i="6"/>
  <c r="U72" i="6"/>
  <c r="T72" i="6"/>
  <c r="K72" i="6"/>
  <c r="J72" i="6"/>
  <c r="I72" i="6"/>
  <c r="H72" i="6"/>
  <c r="G72" i="6"/>
  <c r="F72" i="6"/>
  <c r="E72" i="6"/>
  <c r="AE71" i="6"/>
  <c r="W71" i="6"/>
  <c r="V71" i="6"/>
  <c r="U71" i="6"/>
  <c r="T71" i="6"/>
  <c r="K71" i="6"/>
  <c r="J71" i="6"/>
  <c r="I71" i="6"/>
  <c r="H71" i="6"/>
  <c r="G71" i="6"/>
  <c r="F71" i="6"/>
  <c r="E71" i="6"/>
  <c r="AE70" i="6"/>
  <c r="W70" i="6"/>
  <c r="V70" i="6"/>
  <c r="U70" i="6"/>
  <c r="T70" i="6"/>
  <c r="K70" i="6"/>
  <c r="J70" i="6"/>
  <c r="I70" i="6"/>
  <c r="H70" i="6"/>
  <c r="G70" i="6"/>
  <c r="F70" i="6"/>
  <c r="E70" i="6"/>
  <c r="AE69" i="6"/>
  <c r="W69" i="6"/>
  <c r="V69" i="6"/>
  <c r="U69" i="6"/>
  <c r="T69" i="6"/>
  <c r="L69" i="6"/>
  <c r="K69" i="6"/>
  <c r="J69" i="6"/>
  <c r="I69" i="6"/>
  <c r="H69" i="6"/>
  <c r="G69" i="6"/>
  <c r="F69" i="6"/>
  <c r="E69" i="6"/>
  <c r="W68" i="6"/>
  <c r="V68" i="6"/>
  <c r="U68" i="6"/>
  <c r="T68" i="6"/>
  <c r="H68" i="6"/>
  <c r="E68" i="6"/>
  <c r="F68" i="6" s="1"/>
  <c r="G68" i="6" s="1"/>
  <c r="W67" i="6"/>
  <c r="V67" i="6"/>
  <c r="U67" i="6"/>
  <c r="T67" i="6"/>
  <c r="AE67" i="6" s="1"/>
  <c r="H67" i="6"/>
  <c r="E67" i="6"/>
  <c r="F67" i="6" s="1"/>
  <c r="G67" i="6" s="1"/>
  <c r="W66" i="6"/>
  <c r="V66" i="6"/>
  <c r="U66" i="6"/>
  <c r="T66" i="6"/>
  <c r="H66" i="6"/>
  <c r="E66" i="6"/>
  <c r="F66" i="6" s="1"/>
  <c r="G66" i="6" s="1"/>
  <c r="W65" i="6"/>
  <c r="V65" i="6"/>
  <c r="U65" i="6"/>
  <c r="T65" i="6"/>
  <c r="H65" i="6"/>
  <c r="E65" i="6"/>
  <c r="F65" i="6" s="1"/>
  <c r="G65" i="6" s="1"/>
  <c r="W64" i="6"/>
  <c r="V64" i="6"/>
  <c r="U64" i="6"/>
  <c r="T64" i="6"/>
  <c r="H64" i="6"/>
  <c r="E64" i="6"/>
  <c r="F64" i="6" s="1"/>
  <c r="G64" i="6" s="1"/>
  <c r="W63" i="6"/>
  <c r="V63" i="6"/>
  <c r="U63" i="6"/>
  <c r="T63" i="6"/>
  <c r="H63" i="6"/>
  <c r="E63" i="6"/>
  <c r="F63" i="6" s="1"/>
  <c r="G63" i="6" s="1"/>
  <c r="W62" i="6"/>
  <c r="V62" i="6"/>
  <c r="U62" i="6"/>
  <c r="T62" i="6"/>
  <c r="H62" i="6"/>
  <c r="E62" i="6"/>
  <c r="F62" i="6" s="1"/>
  <c r="G62" i="6" s="1"/>
  <c r="W61" i="6"/>
  <c r="V61" i="6"/>
  <c r="U61" i="6"/>
  <c r="T61" i="6"/>
  <c r="H61" i="6"/>
  <c r="E61" i="6"/>
  <c r="F61" i="6" s="1"/>
  <c r="G61" i="6" s="1"/>
  <c r="W60" i="6"/>
  <c r="V60" i="6"/>
  <c r="U60" i="6"/>
  <c r="T60" i="6"/>
  <c r="H60" i="6"/>
  <c r="E60" i="6"/>
  <c r="F60" i="6" s="1"/>
  <c r="G60" i="6" s="1"/>
  <c r="W59" i="6"/>
  <c r="V59" i="6"/>
  <c r="U59" i="6"/>
  <c r="T59" i="6"/>
  <c r="H59" i="6"/>
  <c r="E59" i="6"/>
  <c r="F59" i="6" s="1"/>
  <c r="G59" i="6" s="1"/>
  <c r="W58" i="6"/>
  <c r="V58" i="6"/>
  <c r="U58" i="6"/>
  <c r="T58" i="6"/>
  <c r="H58" i="6"/>
  <c r="E58" i="6"/>
  <c r="F58" i="6" s="1"/>
  <c r="G58" i="6" s="1"/>
  <c r="W57" i="6"/>
  <c r="V57" i="6"/>
  <c r="U57" i="6"/>
  <c r="T57" i="6"/>
  <c r="H57" i="6"/>
  <c r="E57" i="6"/>
  <c r="F57" i="6" s="1"/>
  <c r="G57" i="6" s="1"/>
  <c r="W56" i="6"/>
  <c r="V56" i="6"/>
  <c r="U56" i="6"/>
  <c r="T56" i="6"/>
  <c r="H56" i="6"/>
  <c r="E56" i="6"/>
  <c r="F56" i="6" s="1"/>
  <c r="G56" i="6" s="1"/>
  <c r="W55" i="6"/>
  <c r="V55" i="6"/>
  <c r="U55" i="6"/>
  <c r="T55" i="6"/>
  <c r="H55" i="6"/>
  <c r="E55" i="6"/>
  <c r="F55" i="6" s="1"/>
  <c r="G55" i="6" s="1"/>
  <c r="W54" i="6"/>
  <c r="V54" i="6"/>
  <c r="U54" i="6"/>
  <c r="T54" i="6"/>
  <c r="H54" i="6"/>
  <c r="E54" i="6"/>
  <c r="F54" i="6" s="1"/>
  <c r="G54" i="6" s="1"/>
  <c r="W53" i="6"/>
  <c r="V53" i="6"/>
  <c r="U53" i="6"/>
  <c r="T53" i="6"/>
  <c r="H53" i="6"/>
  <c r="E53" i="6"/>
  <c r="F53" i="6" s="1"/>
  <c r="G53" i="6" s="1"/>
  <c r="W52" i="6"/>
  <c r="V52" i="6"/>
  <c r="U52" i="6"/>
  <c r="T52" i="6"/>
  <c r="H52" i="6"/>
  <c r="E52" i="6"/>
  <c r="F52" i="6" s="1"/>
  <c r="G52" i="6" s="1"/>
  <c r="W51" i="6"/>
  <c r="V51" i="6"/>
  <c r="U51" i="6"/>
  <c r="T51" i="6"/>
  <c r="H51" i="6"/>
  <c r="E51" i="6"/>
  <c r="F51" i="6" s="1"/>
  <c r="G51" i="6" s="1"/>
  <c r="W50" i="6"/>
  <c r="V50" i="6"/>
  <c r="U50" i="6"/>
  <c r="T50" i="6"/>
  <c r="H50" i="6"/>
  <c r="E50" i="6"/>
  <c r="F50" i="6" s="1"/>
  <c r="G50" i="6" s="1"/>
  <c r="W49" i="6"/>
  <c r="V49" i="6"/>
  <c r="U49" i="6"/>
  <c r="T49" i="6"/>
  <c r="AE49" i="6" s="1"/>
  <c r="H49" i="6"/>
  <c r="E49" i="6"/>
  <c r="F49" i="6" s="1"/>
  <c r="G49" i="6" s="1"/>
  <c r="W48" i="6"/>
  <c r="V48" i="6"/>
  <c r="U48" i="6"/>
  <c r="T48" i="6"/>
  <c r="H48" i="6"/>
  <c r="E48" i="6"/>
  <c r="F48" i="6" s="1"/>
  <c r="G48" i="6" s="1"/>
  <c r="W47" i="6"/>
  <c r="V47" i="6"/>
  <c r="U47" i="6"/>
  <c r="T47" i="6"/>
  <c r="H47" i="6"/>
  <c r="E47" i="6"/>
  <c r="F47" i="6" s="1"/>
  <c r="G47" i="6" s="1"/>
  <c r="W46" i="6"/>
  <c r="V46" i="6"/>
  <c r="U46" i="6"/>
  <c r="T46" i="6"/>
  <c r="H46" i="6"/>
  <c r="E46" i="6"/>
  <c r="F46" i="6" s="1"/>
  <c r="G46" i="6" s="1"/>
  <c r="W45" i="6"/>
  <c r="V45" i="6"/>
  <c r="U45" i="6"/>
  <c r="T45" i="6"/>
  <c r="H45" i="6"/>
  <c r="E45" i="6"/>
  <c r="F45" i="6" s="1"/>
  <c r="G45" i="6" s="1"/>
  <c r="W44" i="6"/>
  <c r="V44" i="6"/>
  <c r="U44" i="6"/>
  <c r="T44" i="6"/>
  <c r="H44" i="6"/>
  <c r="E44" i="6"/>
  <c r="F44" i="6" s="1"/>
  <c r="G44" i="6" s="1"/>
  <c r="W43" i="6"/>
  <c r="V43" i="6"/>
  <c r="U43" i="6"/>
  <c r="T43" i="6"/>
  <c r="H43" i="6"/>
  <c r="E43" i="6"/>
  <c r="F43" i="6" s="1"/>
  <c r="G43" i="6" s="1"/>
  <c r="W42" i="6"/>
  <c r="V42" i="6"/>
  <c r="U42" i="6"/>
  <c r="T42" i="6"/>
  <c r="H42" i="6"/>
  <c r="E42" i="6"/>
  <c r="F42" i="6" s="1"/>
  <c r="G42" i="6" s="1"/>
  <c r="W41" i="6"/>
  <c r="V41" i="6"/>
  <c r="U41" i="6"/>
  <c r="T41" i="6"/>
  <c r="H41" i="6"/>
  <c r="E41" i="6"/>
  <c r="F41" i="6" s="1"/>
  <c r="G41" i="6" s="1"/>
  <c r="W40" i="6"/>
  <c r="V40" i="6"/>
  <c r="U40" i="6"/>
  <c r="T40" i="6"/>
  <c r="H40" i="6"/>
  <c r="E40" i="6"/>
  <c r="F40" i="6" s="1"/>
  <c r="G40" i="6" s="1"/>
  <c r="W39" i="6"/>
  <c r="V39" i="6"/>
  <c r="U39" i="6"/>
  <c r="T39" i="6"/>
  <c r="H39" i="6"/>
  <c r="E39" i="6"/>
  <c r="F39" i="6" s="1"/>
  <c r="G39" i="6" s="1"/>
  <c r="W38" i="6"/>
  <c r="V38" i="6"/>
  <c r="U38" i="6"/>
  <c r="T38" i="6"/>
  <c r="H38" i="6"/>
  <c r="E38" i="6"/>
  <c r="F38" i="6" s="1"/>
  <c r="G38" i="6" s="1"/>
  <c r="W37" i="6"/>
  <c r="V37" i="6"/>
  <c r="U37" i="6"/>
  <c r="T37" i="6"/>
  <c r="H37" i="6"/>
  <c r="E37" i="6"/>
  <c r="F37" i="6" s="1"/>
  <c r="G37" i="6" s="1"/>
  <c r="W36" i="6"/>
  <c r="V36" i="6"/>
  <c r="U36" i="6"/>
  <c r="T36" i="6"/>
  <c r="H36" i="6"/>
  <c r="E36" i="6"/>
  <c r="F36" i="6" s="1"/>
  <c r="G36" i="6" s="1"/>
  <c r="W35" i="6"/>
  <c r="V35" i="6"/>
  <c r="U35" i="6"/>
  <c r="T35" i="6"/>
  <c r="H35" i="6"/>
  <c r="E35" i="6"/>
  <c r="F35" i="6" s="1"/>
  <c r="G35" i="6" s="1"/>
  <c r="W34" i="6"/>
  <c r="V34" i="6"/>
  <c r="U34" i="6"/>
  <c r="T34" i="6"/>
  <c r="AE34" i="6" s="1"/>
  <c r="H34" i="6"/>
  <c r="E34" i="6"/>
  <c r="F34" i="6" s="1"/>
  <c r="G34" i="6" s="1"/>
  <c r="W33" i="6"/>
  <c r="V33" i="6"/>
  <c r="U33" i="6"/>
  <c r="T33" i="6"/>
  <c r="H33" i="6"/>
  <c r="E33" i="6"/>
  <c r="F33" i="6" s="1"/>
  <c r="G33" i="6" s="1"/>
  <c r="W32" i="6"/>
  <c r="V32" i="6"/>
  <c r="U32" i="6"/>
  <c r="T32" i="6"/>
  <c r="H32" i="6"/>
  <c r="E32" i="6"/>
  <c r="F32" i="6" s="1"/>
  <c r="G32" i="6" s="1"/>
  <c r="W31" i="6"/>
  <c r="V31" i="6"/>
  <c r="U31" i="6"/>
  <c r="T31" i="6"/>
  <c r="AE31" i="6" s="1"/>
  <c r="H31" i="6"/>
  <c r="E31" i="6"/>
  <c r="F31" i="6" s="1"/>
  <c r="G31" i="6" s="1"/>
  <c r="W30" i="6"/>
  <c r="V30" i="6"/>
  <c r="U30" i="6"/>
  <c r="T30" i="6"/>
  <c r="H30" i="6"/>
  <c r="E30" i="6"/>
  <c r="F30" i="6" s="1"/>
  <c r="G30" i="6" s="1"/>
  <c r="W29" i="6"/>
  <c r="V29" i="6"/>
  <c r="U29" i="6"/>
  <c r="T29" i="6"/>
  <c r="H29" i="6"/>
  <c r="E29" i="6"/>
  <c r="F29" i="6" s="1"/>
  <c r="G29" i="6" s="1"/>
  <c r="W28" i="6"/>
  <c r="V28" i="6"/>
  <c r="U28" i="6"/>
  <c r="T28" i="6"/>
  <c r="K28" i="6"/>
  <c r="H28" i="6"/>
  <c r="E28" i="6"/>
  <c r="F28" i="6" s="1"/>
  <c r="G28" i="6" s="1"/>
  <c r="W27" i="6"/>
  <c r="V27" i="6"/>
  <c r="U27" i="6"/>
  <c r="T27" i="6"/>
  <c r="K27" i="6"/>
  <c r="H27" i="6"/>
  <c r="E27" i="6"/>
  <c r="F27" i="6" s="1"/>
  <c r="G27" i="6" s="1"/>
  <c r="W26" i="6"/>
  <c r="V26" i="6"/>
  <c r="U26" i="6"/>
  <c r="T26" i="6"/>
  <c r="K26" i="6"/>
  <c r="H26" i="6"/>
  <c r="E26" i="6"/>
  <c r="F26" i="6" s="1"/>
  <c r="G26" i="6" s="1"/>
  <c r="W25" i="6"/>
  <c r="V25" i="6"/>
  <c r="U25" i="6"/>
  <c r="T25" i="6"/>
  <c r="K25" i="6"/>
  <c r="H25" i="6"/>
  <c r="E25" i="6"/>
  <c r="F25" i="6" s="1"/>
  <c r="G25" i="6" s="1"/>
  <c r="W24" i="6"/>
  <c r="V24" i="6"/>
  <c r="U24" i="6"/>
  <c r="T24" i="6"/>
  <c r="K24" i="6"/>
  <c r="H24" i="6"/>
  <c r="E24" i="6"/>
  <c r="F24" i="6" s="1"/>
  <c r="G24" i="6" s="1"/>
  <c r="W23" i="6"/>
  <c r="V23" i="6"/>
  <c r="U23" i="6"/>
  <c r="T23" i="6"/>
  <c r="K23" i="6"/>
  <c r="H23" i="6"/>
  <c r="E23" i="6"/>
  <c r="F23" i="6" s="1"/>
  <c r="G23" i="6" s="1"/>
  <c r="W22" i="6"/>
  <c r="V22" i="6"/>
  <c r="U22" i="6"/>
  <c r="T22" i="6"/>
  <c r="K22" i="6"/>
  <c r="H22" i="6"/>
  <c r="E22" i="6"/>
  <c r="F22" i="6" s="1"/>
  <c r="G22" i="6" s="1"/>
  <c r="W21" i="6"/>
  <c r="V21" i="6"/>
  <c r="U21" i="6"/>
  <c r="T21" i="6"/>
  <c r="K21" i="6"/>
  <c r="H21" i="6"/>
  <c r="E21" i="6"/>
  <c r="F21" i="6" s="1"/>
  <c r="G21" i="6" s="1"/>
  <c r="W20" i="6"/>
  <c r="V20" i="6"/>
  <c r="U20" i="6"/>
  <c r="T20" i="6"/>
  <c r="K20" i="6"/>
  <c r="H20" i="6"/>
  <c r="E20" i="6"/>
  <c r="F20" i="6" s="1"/>
  <c r="G20" i="6" s="1"/>
  <c r="W19" i="6"/>
  <c r="V19" i="6"/>
  <c r="U19" i="6"/>
  <c r="T19" i="6"/>
  <c r="K19" i="6"/>
  <c r="H19" i="6"/>
  <c r="E19" i="6"/>
  <c r="F19" i="6" s="1"/>
  <c r="G19" i="6" s="1"/>
  <c r="W18" i="6"/>
  <c r="V18" i="6"/>
  <c r="U18" i="6"/>
  <c r="T18" i="6"/>
  <c r="K18" i="6"/>
  <c r="H18" i="6"/>
  <c r="E18" i="6"/>
  <c r="F18" i="6" s="1"/>
  <c r="G18" i="6" s="1"/>
  <c r="W17" i="6"/>
  <c r="V17" i="6"/>
  <c r="U17" i="6"/>
  <c r="T17" i="6"/>
  <c r="K17" i="6"/>
  <c r="H17" i="6"/>
  <c r="E17" i="6"/>
  <c r="F17" i="6" s="1"/>
  <c r="G17" i="6" s="1"/>
  <c r="W16" i="6"/>
  <c r="V16" i="6"/>
  <c r="U16" i="6"/>
  <c r="T16" i="6"/>
  <c r="K16" i="6"/>
  <c r="H16" i="6"/>
  <c r="E16" i="6"/>
  <c r="F16" i="6" s="1"/>
  <c r="G16" i="6" s="1"/>
  <c r="W15" i="6"/>
  <c r="V15" i="6"/>
  <c r="U15" i="6"/>
  <c r="T15" i="6"/>
  <c r="K15" i="6"/>
  <c r="H15" i="6"/>
  <c r="E15" i="6"/>
  <c r="F15" i="6" s="1"/>
  <c r="G15" i="6" s="1"/>
  <c r="W14" i="6"/>
  <c r="V14" i="6"/>
  <c r="U14" i="6"/>
  <c r="T14" i="6"/>
  <c r="K14" i="6"/>
  <c r="H14" i="6"/>
  <c r="E14" i="6"/>
  <c r="F14" i="6" s="1"/>
  <c r="G14" i="6" s="1"/>
  <c r="W13" i="6"/>
  <c r="V13" i="6"/>
  <c r="U13" i="6"/>
  <c r="T13" i="6"/>
  <c r="K13" i="6"/>
  <c r="H13" i="6"/>
  <c r="E13" i="6"/>
  <c r="F13" i="6" s="1"/>
  <c r="G13" i="6" s="1"/>
  <c r="W12" i="6"/>
  <c r="V12" i="6"/>
  <c r="U12" i="6"/>
  <c r="T12" i="6"/>
  <c r="K12" i="6"/>
  <c r="H12" i="6"/>
  <c r="E12" i="6"/>
  <c r="F12" i="6" s="1"/>
  <c r="G12" i="6" s="1"/>
  <c r="W11" i="6"/>
  <c r="V11" i="6"/>
  <c r="U11" i="6"/>
  <c r="T11" i="6"/>
  <c r="K11" i="6"/>
  <c r="H11" i="6"/>
  <c r="E11" i="6"/>
  <c r="F11" i="6" s="1"/>
  <c r="G11" i="6" s="1"/>
  <c r="W10" i="6"/>
  <c r="V10" i="6"/>
  <c r="U10" i="6"/>
  <c r="T10" i="6"/>
  <c r="K10" i="6"/>
  <c r="H10" i="6"/>
  <c r="E10" i="6"/>
  <c r="F10" i="6" s="1"/>
  <c r="G10" i="6" s="1"/>
  <c r="W9" i="6"/>
  <c r="V9" i="6"/>
  <c r="U9" i="6"/>
  <c r="T9" i="6"/>
  <c r="K9" i="6"/>
  <c r="H9" i="6"/>
  <c r="E9" i="6"/>
  <c r="F9" i="6" s="1"/>
  <c r="G9" i="6" s="1"/>
  <c r="AE8" i="6"/>
  <c r="W8" i="6"/>
  <c r="V8" i="6"/>
  <c r="U8" i="6"/>
  <c r="T8" i="6"/>
  <c r="K8" i="6"/>
  <c r="J8" i="6"/>
  <c r="K32" i="6" s="1"/>
  <c r="I8" i="6"/>
  <c r="H8" i="6"/>
  <c r="G8" i="6"/>
  <c r="F8" i="6"/>
  <c r="E8" i="6"/>
  <c r="AE7" i="6"/>
  <c r="W7" i="6"/>
  <c r="V7" i="6"/>
  <c r="U7" i="6"/>
  <c r="T7" i="6"/>
  <c r="K7" i="6"/>
  <c r="J7" i="6"/>
  <c r="I7" i="6"/>
  <c r="H7" i="6"/>
  <c r="G7" i="6"/>
  <c r="F7" i="6"/>
  <c r="E7" i="6"/>
  <c r="AE6" i="6"/>
  <c r="W6" i="6"/>
  <c r="V6" i="6"/>
  <c r="U6" i="6"/>
  <c r="T6" i="6"/>
  <c r="K6" i="6"/>
  <c r="J6" i="6"/>
  <c r="I6" i="6"/>
  <c r="H6" i="6"/>
  <c r="G6" i="6"/>
  <c r="F6" i="6"/>
  <c r="E6" i="6"/>
  <c r="AE5" i="6"/>
  <c r="W5" i="6"/>
  <c r="V5" i="6"/>
  <c r="U5" i="6"/>
  <c r="T5" i="6"/>
  <c r="L5" i="6"/>
  <c r="K5" i="6"/>
  <c r="J5" i="6"/>
  <c r="I5" i="6"/>
  <c r="H5" i="6"/>
  <c r="G5" i="6"/>
  <c r="F5" i="6"/>
  <c r="E5" i="6"/>
  <c r="V8" i="5"/>
  <c r="O8" i="5"/>
  <c r="L8" i="5"/>
  <c r="K8" i="5"/>
  <c r="J8" i="5"/>
  <c r="H8" i="5"/>
  <c r="G8" i="5"/>
  <c r="F8" i="5"/>
  <c r="E8" i="5"/>
  <c r="D8" i="5"/>
  <c r="C8" i="5"/>
  <c r="I8" i="5" s="1"/>
  <c r="B8" i="5"/>
  <c r="V7" i="5"/>
  <c r="O7" i="5"/>
  <c r="L7" i="5"/>
  <c r="K7" i="5"/>
  <c r="J7" i="5"/>
  <c r="H7" i="5"/>
  <c r="G7" i="5"/>
  <c r="F7" i="5"/>
  <c r="E7" i="5"/>
  <c r="D7" i="5"/>
  <c r="C7" i="5"/>
  <c r="I7" i="5" s="1"/>
  <c r="B7" i="5"/>
  <c r="V6" i="5"/>
  <c r="S6" i="5"/>
  <c r="O6" i="5"/>
  <c r="L6" i="5"/>
  <c r="K6" i="5"/>
  <c r="J6" i="5"/>
  <c r="H6" i="5"/>
  <c r="G6" i="5"/>
  <c r="F6" i="5"/>
  <c r="E6" i="5"/>
  <c r="D6" i="5"/>
  <c r="C6" i="5"/>
  <c r="I6" i="5" s="1"/>
  <c r="B6" i="5"/>
  <c r="V5" i="5"/>
  <c r="S5" i="5"/>
  <c r="O5" i="5"/>
  <c r="L5" i="5"/>
  <c r="K5" i="5"/>
  <c r="J5" i="5"/>
  <c r="H5" i="5"/>
  <c r="G5" i="5"/>
  <c r="F5" i="5"/>
  <c r="E5" i="5"/>
  <c r="D5" i="5"/>
  <c r="C5" i="5"/>
  <c r="I5" i="5" s="1"/>
  <c r="B5" i="5"/>
  <c r="I7" i="4"/>
  <c r="H7" i="4"/>
  <c r="G7" i="4"/>
  <c r="F7" i="4"/>
  <c r="E7" i="4"/>
  <c r="D7" i="4"/>
  <c r="C7" i="4"/>
  <c r="B7" i="4"/>
  <c r="I6" i="4"/>
  <c r="H6" i="4"/>
  <c r="G6" i="4"/>
  <c r="F6" i="4"/>
  <c r="E6" i="4"/>
  <c r="D6" i="4"/>
  <c r="C6" i="4"/>
  <c r="B6" i="4"/>
  <c r="I5" i="4"/>
  <c r="H5" i="4"/>
  <c r="G5" i="4"/>
  <c r="F5" i="4"/>
  <c r="E5" i="4"/>
  <c r="D5" i="4"/>
  <c r="C5" i="4"/>
  <c r="B5" i="4"/>
  <c r="B35" i="3"/>
  <c r="B34" i="3"/>
  <c r="B33" i="3"/>
  <c r="B20" i="3"/>
  <c r="B13" i="3"/>
  <c r="B12" i="3"/>
  <c r="B11" i="3"/>
  <c r="B6" i="3"/>
  <c r="B5" i="3"/>
  <c r="M7" i="2"/>
  <c r="L7" i="2"/>
  <c r="R7" i="2" s="1"/>
  <c r="E7" i="2"/>
  <c r="C7" i="2"/>
  <c r="D7" i="2" s="1"/>
  <c r="B7" i="2"/>
  <c r="A7" i="2"/>
  <c r="M6" i="2"/>
  <c r="L6" i="2"/>
  <c r="R6" i="2" s="1"/>
  <c r="E6" i="2"/>
  <c r="C6" i="2"/>
  <c r="D6" i="2" s="1"/>
  <c r="B6" i="2"/>
  <c r="A6" i="2"/>
  <c r="M5" i="2"/>
  <c r="L5" i="2"/>
  <c r="R5" i="2" s="1"/>
  <c r="E5" i="2"/>
  <c r="C5" i="2"/>
  <c r="D5" i="2" s="1"/>
  <c r="B5" i="2"/>
  <c r="A5" i="2"/>
  <c r="I334" i="7" l="1"/>
  <c r="J334" i="7" s="1"/>
  <c r="K334" i="7" s="1"/>
  <c r="I215" i="7"/>
  <c r="J215" i="7" s="1"/>
  <c r="K215" i="7" s="1"/>
  <c r="I36" i="7"/>
  <c r="J36" i="7" s="1"/>
  <c r="K36" i="7" s="1"/>
  <c r="I82" i="7"/>
  <c r="J82" i="7" s="1"/>
  <c r="K82" i="7" s="1"/>
  <c r="I122" i="7"/>
  <c r="J122" i="7" s="1"/>
  <c r="K122" i="7" s="1"/>
  <c r="I78" i="7"/>
  <c r="J78" i="7" s="1"/>
  <c r="K78" i="7" s="1"/>
  <c r="I34" i="7"/>
  <c r="J34" i="7" s="1"/>
  <c r="K34" i="7" s="1"/>
  <c r="I257" i="7"/>
  <c r="J257" i="7" s="1"/>
  <c r="K257" i="7" s="1"/>
  <c r="I211" i="7"/>
  <c r="J211" i="7" s="1"/>
  <c r="K211" i="7" s="1"/>
  <c r="I167" i="7"/>
  <c r="J167" i="7" s="1"/>
  <c r="K167" i="7" s="1"/>
  <c r="I123" i="7"/>
  <c r="J123" i="7" s="1"/>
  <c r="K123" i="7" s="1"/>
  <c r="O70" i="6"/>
  <c r="X70" i="6"/>
  <c r="AE160" i="6"/>
  <c r="AE159" i="6"/>
  <c r="AE158" i="6"/>
  <c r="AE157" i="6"/>
  <c r="AE156" i="6"/>
  <c r="AE155" i="6"/>
  <c r="AE154" i="6"/>
  <c r="AE153" i="6"/>
  <c r="AE152" i="6"/>
  <c r="AE151" i="6"/>
  <c r="AE150" i="6"/>
  <c r="AE149" i="6"/>
  <c r="AE148" i="6"/>
  <c r="AE147" i="6"/>
  <c r="AE146" i="6"/>
  <c r="AE145" i="6"/>
  <c r="AE144" i="6"/>
  <c r="AE143" i="6"/>
  <c r="AE142" i="6"/>
  <c r="AE141" i="6"/>
  <c r="AE140" i="6"/>
  <c r="AE139" i="6"/>
  <c r="AE138" i="6"/>
  <c r="AE137" i="6"/>
  <c r="Z136" i="6"/>
  <c r="Y136" i="6"/>
  <c r="S136" i="6"/>
  <c r="P136" i="6"/>
  <c r="X136" i="6"/>
  <c r="O136" i="6"/>
  <c r="Z135" i="6"/>
  <c r="Y135" i="6"/>
  <c r="S135" i="6"/>
  <c r="P135" i="6"/>
  <c r="X135" i="6"/>
  <c r="O135" i="6"/>
  <c r="K158" i="6"/>
  <c r="Z134" i="6"/>
  <c r="Y134" i="6"/>
  <c r="S134" i="6"/>
  <c r="P134" i="6"/>
  <c r="X134" i="6"/>
  <c r="O134" i="6"/>
  <c r="M133" i="6"/>
  <c r="N133" i="6" s="1"/>
  <c r="Z133" i="6"/>
  <c r="Y133" i="6"/>
  <c r="S133" i="6"/>
  <c r="P133" i="6"/>
  <c r="X133" i="6"/>
  <c r="O133" i="6"/>
  <c r="Z72" i="6"/>
  <c r="Y72" i="6"/>
  <c r="S72" i="6"/>
  <c r="P72" i="6"/>
  <c r="K96" i="6"/>
  <c r="X72" i="6"/>
  <c r="O72" i="6"/>
  <c r="Z71" i="6"/>
  <c r="Y71" i="6"/>
  <c r="S71" i="6"/>
  <c r="P71" i="6"/>
  <c r="K95" i="6"/>
  <c r="X71" i="6"/>
  <c r="O71" i="6"/>
  <c r="K94" i="6"/>
  <c r="S70" i="6"/>
  <c r="Z70" i="6"/>
  <c r="Y70" i="6"/>
  <c r="P70" i="6"/>
  <c r="M69" i="6"/>
  <c r="N69" i="6" s="1"/>
  <c r="K93" i="6"/>
  <c r="Y69" i="6"/>
  <c r="S69" i="6"/>
  <c r="P69" i="6"/>
  <c r="Z69" i="6"/>
  <c r="O69" i="6"/>
  <c r="X69" i="6"/>
  <c r="AE68" i="6"/>
  <c r="AE66" i="6"/>
  <c r="AE65" i="6"/>
  <c r="AE64" i="6"/>
  <c r="AE63" i="6"/>
  <c r="AE62" i="6"/>
  <c r="AE61" i="6"/>
  <c r="AE60" i="6"/>
  <c r="AE59" i="6"/>
  <c r="AE58" i="6"/>
  <c r="AE57" i="6"/>
  <c r="AE56" i="6"/>
  <c r="AE55" i="6"/>
  <c r="AE54" i="6"/>
  <c r="AE53" i="6"/>
  <c r="AE52" i="6"/>
  <c r="AE51" i="6"/>
  <c r="AE50" i="6"/>
  <c r="AE48" i="6"/>
  <c r="AE47" i="6"/>
  <c r="AE46" i="6"/>
  <c r="AE45" i="6"/>
  <c r="AE44" i="6"/>
  <c r="AE43" i="6"/>
  <c r="AE42" i="6"/>
  <c r="AE41" i="6"/>
  <c r="AE40" i="6"/>
  <c r="AE39" i="6"/>
  <c r="AE38" i="6"/>
  <c r="AE37" i="6"/>
  <c r="AE36" i="6"/>
  <c r="AE35" i="6"/>
  <c r="AE33" i="6"/>
  <c r="AE32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P8" i="6"/>
  <c r="Y8" i="6"/>
  <c r="S8" i="6"/>
  <c r="Z8" i="6"/>
  <c r="X8" i="6"/>
  <c r="O8" i="6"/>
  <c r="Z7" i="6"/>
  <c r="Y7" i="6"/>
  <c r="P7" i="6"/>
  <c r="S7" i="6"/>
  <c r="K31" i="6"/>
  <c r="X7" i="6"/>
  <c r="O7" i="6"/>
  <c r="S6" i="6"/>
  <c r="P6" i="6"/>
  <c r="K30" i="6"/>
  <c r="Z6" i="6"/>
  <c r="Y6" i="6"/>
  <c r="O6" i="6"/>
  <c r="X6" i="6"/>
  <c r="M5" i="6"/>
  <c r="N5" i="6" s="1"/>
  <c r="K29" i="6"/>
  <c r="Z5" i="6"/>
  <c r="Y5" i="6"/>
  <c r="S5" i="6"/>
  <c r="P5" i="6"/>
  <c r="X5" i="6"/>
  <c r="O5" i="6"/>
  <c r="W8" i="5"/>
  <c r="P8" i="5"/>
  <c r="M8" i="5"/>
  <c r="N8" i="5"/>
  <c r="I6" i="3" s="1"/>
  <c r="L6" i="3" s="1"/>
  <c r="X8" i="5"/>
  <c r="B23" i="3"/>
  <c r="B30" i="3"/>
  <c r="B29" i="3"/>
  <c r="W7" i="5"/>
  <c r="P7" i="5"/>
  <c r="S8" i="5"/>
  <c r="M7" i="5"/>
  <c r="G5" i="3" s="1"/>
  <c r="K5" i="3" s="1"/>
  <c r="N7" i="5"/>
  <c r="S7" i="5"/>
  <c r="Q7" i="5"/>
  <c r="W6" i="5"/>
  <c r="P6" i="5"/>
  <c r="N6" i="5"/>
  <c r="M6" i="5"/>
  <c r="Q6" i="5"/>
  <c r="X6" i="5"/>
  <c r="W5" i="5"/>
  <c r="P5" i="5"/>
  <c r="N5" i="5"/>
  <c r="M5" i="5"/>
  <c r="Q5" i="5"/>
  <c r="X5" i="5"/>
  <c r="C6" i="3"/>
  <c r="F6" i="3"/>
  <c r="C5" i="3"/>
  <c r="F5" i="3"/>
  <c r="G7" i="2"/>
  <c r="H7" i="2"/>
  <c r="F7" i="2"/>
  <c r="J7" i="2"/>
  <c r="I7" i="2"/>
  <c r="F6" i="2"/>
  <c r="G6" i="2"/>
  <c r="H6" i="2"/>
  <c r="I6" i="2"/>
  <c r="J6" i="2"/>
  <c r="F5" i="2"/>
  <c r="G5" i="2"/>
  <c r="H5" i="2"/>
  <c r="I5" i="2"/>
  <c r="J5" i="2"/>
  <c r="G6" i="3" l="1"/>
  <c r="K6" i="3" s="1"/>
  <c r="X7" i="5"/>
  <c r="I5" i="3"/>
  <c r="Q8" i="5"/>
  <c r="T7" i="5"/>
  <c r="U7" i="5" s="1"/>
  <c r="R7" i="5"/>
  <c r="B14" i="3" s="1"/>
  <c r="B15" i="3" s="1"/>
  <c r="Q133" i="6"/>
  <c r="R133" i="6"/>
  <c r="AA133" i="6"/>
  <c r="AB133" i="6" s="1"/>
  <c r="AC133" i="6" s="1"/>
  <c r="AD133" i="6" s="1"/>
  <c r="AF133" i="6"/>
  <c r="L134" i="6"/>
  <c r="AF69" i="6"/>
  <c r="L70" i="6"/>
  <c r="Q69" i="6"/>
  <c r="R69" i="6"/>
  <c r="AA69" i="6"/>
  <c r="AB69" i="6" s="1"/>
  <c r="AC69" i="6" s="1"/>
  <c r="AD69" i="6" s="1"/>
  <c r="B18" i="3"/>
  <c r="B19" i="3" s="1"/>
  <c r="G33" i="3"/>
  <c r="Q5" i="6"/>
  <c r="R5" i="6"/>
  <c r="AA5" i="6"/>
  <c r="AB5" i="6" s="1"/>
  <c r="AC5" i="6" s="1"/>
  <c r="AD5" i="6" s="1"/>
  <c r="AF5" i="6"/>
  <c r="L6" i="6"/>
  <c r="B27" i="3"/>
  <c r="B24" i="3"/>
  <c r="B25" i="3" s="1"/>
  <c r="B26" i="3"/>
  <c r="J6" i="3"/>
  <c r="H6" i="3"/>
  <c r="H5" i="3"/>
  <c r="K7" i="2"/>
  <c r="K6" i="2"/>
  <c r="K5" i="2"/>
  <c r="Z8" i="5"/>
  <c r="AA8" i="5" s="1"/>
  <c r="Y8" i="5"/>
  <c r="T6" i="5"/>
  <c r="U6" i="5" s="1"/>
  <c r="R6" i="5"/>
  <c r="Z6" i="5"/>
  <c r="AA6" i="5" s="1"/>
  <c r="Y6" i="5"/>
  <c r="T5" i="5"/>
  <c r="U5" i="5" s="1"/>
  <c r="R5" i="5"/>
  <c r="Z5" i="5"/>
  <c r="AA5" i="5" s="1"/>
  <c r="Y5" i="5"/>
  <c r="Z7" i="5" l="1"/>
  <c r="AA7" i="5" s="1"/>
  <c r="Y7" i="5"/>
  <c r="L5" i="3"/>
  <c r="J5" i="3"/>
  <c r="T8" i="5"/>
  <c r="U8" i="5" s="1"/>
  <c r="R8" i="5"/>
  <c r="B16" i="3" s="1"/>
  <c r="B17" i="3" s="1"/>
  <c r="M134" i="6"/>
  <c r="N134" i="6" s="1"/>
  <c r="M70" i="6"/>
  <c r="N70" i="6" s="1"/>
  <c r="M6" i="6"/>
  <c r="N6" i="6"/>
  <c r="AE161" i="6"/>
  <c r="AE162" i="6"/>
  <c r="AE163" i="6"/>
  <c r="AE164" i="6"/>
  <c r="AE165" i="6"/>
  <c r="AE166" i="6"/>
  <c r="AE167" i="6"/>
  <c r="AE168" i="6"/>
  <c r="AE169" i="6"/>
  <c r="AE170" i="6"/>
  <c r="AE171" i="6"/>
  <c r="AE172" i="6"/>
  <c r="AE173" i="6"/>
  <c r="AE174" i="6"/>
  <c r="AE177" i="6"/>
  <c r="AE178" i="6"/>
  <c r="AE179" i="6"/>
  <c r="AE180" i="6"/>
  <c r="AE181" i="6"/>
  <c r="AE182" i="6"/>
  <c r="AE183" i="6"/>
  <c r="AE184" i="6"/>
  <c r="AE185" i="6"/>
  <c r="AE186" i="6"/>
  <c r="AE187" i="6"/>
  <c r="AE188" i="6"/>
  <c r="AE189" i="6"/>
  <c r="AE190" i="6"/>
  <c r="AE191" i="6"/>
  <c r="AE192" i="6"/>
  <c r="AE193" i="6"/>
  <c r="AE195" i="6"/>
  <c r="AE196" i="6"/>
  <c r="AE175" i="6"/>
  <c r="B28" i="3"/>
  <c r="H161" i="6"/>
  <c r="H162" i="6"/>
  <c r="H165" i="6"/>
  <c r="H166" i="6"/>
  <c r="H168" i="6"/>
  <c r="H169" i="6"/>
  <c r="H176" i="6"/>
  <c r="H163" i="6"/>
  <c r="H164" i="6"/>
  <c r="H167" i="6"/>
  <c r="H170" i="6"/>
  <c r="H171" i="6"/>
  <c r="H172" i="6"/>
  <c r="H173" i="6"/>
  <c r="H174" i="6"/>
  <c r="H175" i="6"/>
  <c r="AE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AE194" i="6"/>
  <c r="H195" i="6"/>
  <c r="H196" i="6"/>
  <c r="U7" i="2"/>
  <c r="S7" i="2"/>
  <c r="Q7" i="2"/>
  <c r="O7" i="2"/>
  <c r="P7" i="2" s="1"/>
  <c r="T7" i="2"/>
  <c r="N7" i="2"/>
  <c r="D5" i="3"/>
  <c r="D6" i="3"/>
  <c r="U6" i="2"/>
  <c r="E5" i="3"/>
  <c r="T6" i="2"/>
  <c r="S6" i="2"/>
  <c r="Q6" i="2"/>
  <c r="O6" i="2"/>
  <c r="P6" i="2" s="1"/>
  <c r="N6" i="2"/>
  <c r="E6" i="3"/>
  <c r="U5" i="2"/>
  <c r="S5" i="2"/>
  <c r="O5" i="2"/>
  <c r="P5" i="2" s="1"/>
  <c r="T5" i="2"/>
  <c r="Q5" i="2"/>
  <c r="N5" i="2"/>
  <c r="AG133" i="6"/>
  <c r="AG69" i="6"/>
  <c r="AG5" i="6"/>
  <c r="AF134" i="6" l="1"/>
  <c r="L135" i="6"/>
  <c r="Q134" i="6"/>
  <c r="R134" i="6"/>
  <c r="AA134" i="6"/>
  <c r="AB134" i="6" s="1"/>
  <c r="AC134" i="6" s="1"/>
  <c r="AD134" i="6" s="1"/>
  <c r="AF70" i="6"/>
  <c r="L71" i="6"/>
  <c r="Q70" i="6"/>
  <c r="R70" i="6"/>
  <c r="AA70" i="6"/>
  <c r="AB70" i="6" s="1"/>
  <c r="AC70" i="6" s="1"/>
  <c r="AD70" i="6" s="1"/>
  <c r="AF6" i="6"/>
  <c r="L7" i="6"/>
  <c r="Q6" i="6"/>
  <c r="R6" i="6"/>
  <c r="AA6" i="6"/>
  <c r="AB6" i="6" s="1"/>
  <c r="G35" i="3"/>
  <c r="AG6" i="6" l="1"/>
  <c r="M135" i="6"/>
  <c r="N135" i="6" s="1"/>
  <c r="M71" i="6"/>
  <c r="N71" i="6" s="1"/>
  <c r="M7" i="6"/>
  <c r="N7" i="6" s="1"/>
  <c r="AC6" i="6"/>
  <c r="AD6" i="6" s="1"/>
  <c r="AG70" i="6"/>
  <c r="AG134" i="6"/>
  <c r="AF135" i="6" l="1"/>
  <c r="L136" i="6"/>
  <c r="Q135" i="6"/>
  <c r="R135" i="6"/>
  <c r="AA135" i="6"/>
  <c r="AB135" i="6" s="1"/>
  <c r="AF71" i="6"/>
  <c r="L72" i="6"/>
  <c r="Q71" i="6"/>
  <c r="R71" i="6"/>
  <c r="AA71" i="6"/>
  <c r="AB71" i="6" s="1"/>
  <c r="AC71" i="6" s="1"/>
  <c r="AD71" i="6" s="1"/>
  <c r="AF7" i="6"/>
  <c r="L8" i="6"/>
  <c r="Q7" i="6"/>
  <c r="R7" i="6"/>
  <c r="AA7" i="6"/>
  <c r="AB7" i="6" s="1"/>
  <c r="AC7" i="6" s="1"/>
  <c r="AD7" i="6" s="1"/>
  <c r="AC135" i="6" l="1"/>
  <c r="AD135" i="6" s="1"/>
  <c r="M136" i="6"/>
  <c r="N136" i="6" s="1"/>
  <c r="M72" i="6"/>
  <c r="N72" i="6"/>
  <c r="M8" i="6"/>
  <c r="N8" i="6"/>
  <c r="AG7" i="6"/>
  <c r="AG135" i="6"/>
  <c r="AG71" i="6"/>
  <c r="AF136" i="6" l="1"/>
  <c r="L137" i="6"/>
  <c r="Q136" i="6"/>
  <c r="R136" i="6"/>
  <c r="AA136" i="6"/>
  <c r="AB136" i="6" s="1"/>
  <c r="AF72" i="6"/>
  <c r="L73" i="6"/>
  <c r="Q72" i="6"/>
  <c r="R72" i="6"/>
  <c r="AA72" i="6"/>
  <c r="AB72" i="6" s="1"/>
  <c r="AC72" i="6" s="1"/>
  <c r="AD72" i="6" s="1"/>
  <c r="AF8" i="6"/>
  <c r="L9" i="6"/>
  <c r="Q8" i="6"/>
  <c r="R8" i="6"/>
  <c r="AA8" i="6"/>
  <c r="AB8" i="6" s="1"/>
  <c r="AC8" i="6" s="1"/>
  <c r="AD8" i="6" s="1"/>
  <c r="AC136" i="6" l="1"/>
  <c r="AD136" i="6" s="1"/>
  <c r="I137" i="6"/>
  <c r="W73" i="6"/>
  <c r="I73" i="6"/>
  <c r="I9" i="6"/>
  <c r="AG8" i="6"/>
  <c r="AG136" i="6"/>
  <c r="AG72" i="6"/>
  <c r="J137" i="6" l="1"/>
  <c r="O137" i="6"/>
  <c r="X137" i="6"/>
  <c r="AE73" i="6"/>
  <c r="J73" i="6"/>
  <c r="O73" i="6"/>
  <c r="X73" i="6"/>
  <c r="J9" i="6"/>
  <c r="O9" i="6"/>
  <c r="X9" i="6"/>
  <c r="M137" i="6" l="1"/>
  <c r="P137" i="6"/>
  <c r="S137" i="6"/>
  <c r="Y137" i="6"/>
  <c r="Z137" i="6"/>
  <c r="K161" i="6"/>
  <c r="M73" i="6"/>
  <c r="P73" i="6"/>
  <c r="S73" i="6"/>
  <c r="Y73" i="6"/>
  <c r="Z73" i="6"/>
  <c r="K97" i="6"/>
  <c r="M9" i="6"/>
  <c r="P9" i="6"/>
  <c r="S9" i="6"/>
  <c r="Y9" i="6"/>
  <c r="Z9" i="6"/>
  <c r="K33" i="6"/>
  <c r="L138" i="6" l="1"/>
  <c r="AF137" i="6"/>
  <c r="N137" i="6"/>
  <c r="AF73" i="6"/>
  <c r="N73" i="6"/>
  <c r="L74" i="6"/>
  <c r="L10" i="6"/>
  <c r="AF9" i="6"/>
  <c r="N9" i="6"/>
  <c r="I138" i="6" l="1"/>
  <c r="AA137" i="6"/>
  <c r="AB137" i="6" s="1"/>
  <c r="AC137" i="6" s="1"/>
  <c r="AD137" i="6" s="1"/>
  <c r="R137" i="6"/>
  <c r="Q137" i="6"/>
  <c r="AA73" i="6"/>
  <c r="AB73" i="6" s="1"/>
  <c r="AC73" i="6" s="1"/>
  <c r="AD73" i="6" s="1"/>
  <c r="R73" i="6"/>
  <c r="Q73" i="6"/>
  <c r="I74" i="6"/>
  <c r="W74" i="6"/>
  <c r="I10" i="6"/>
  <c r="AA9" i="6"/>
  <c r="AB9" i="6" s="1"/>
  <c r="AC9" i="6" s="1"/>
  <c r="AD9" i="6" s="1"/>
  <c r="R9" i="6"/>
  <c r="Q9" i="6"/>
  <c r="J138" i="6" l="1"/>
  <c r="O138" i="6"/>
  <c r="X138" i="6"/>
  <c r="J74" i="6"/>
  <c r="O74" i="6"/>
  <c r="X74" i="6"/>
  <c r="AE74" i="6"/>
  <c r="J10" i="6"/>
  <c r="O10" i="6"/>
  <c r="X10" i="6"/>
  <c r="AG137" i="6"/>
  <c r="AG73" i="6"/>
  <c r="AG9" i="6"/>
  <c r="M138" i="6" l="1"/>
  <c r="P138" i="6"/>
  <c r="S138" i="6"/>
  <c r="Y138" i="6"/>
  <c r="Z138" i="6"/>
  <c r="K162" i="6"/>
  <c r="M74" i="6"/>
  <c r="P74" i="6"/>
  <c r="S74" i="6"/>
  <c r="Y74" i="6"/>
  <c r="Z74" i="6"/>
  <c r="K98" i="6"/>
  <c r="M10" i="6"/>
  <c r="P10" i="6"/>
  <c r="S10" i="6"/>
  <c r="Y10" i="6"/>
  <c r="Z10" i="6"/>
  <c r="K34" i="6"/>
  <c r="L139" i="6" l="1"/>
  <c r="AF138" i="6"/>
  <c r="N138" i="6"/>
  <c r="AF74" i="6"/>
  <c r="N74" i="6"/>
  <c r="L75" i="6"/>
  <c r="L11" i="6"/>
  <c r="AF10" i="6"/>
  <c r="N10" i="6"/>
  <c r="I139" i="6" l="1"/>
  <c r="AA138" i="6"/>
  <c r="AB138" i="6" s="1"/>
  <c r="R138" i="6"/>
  <c r="Q138" i="6"/>
  <c r="AA74" i="6"/>
  <c r="AB74" i="6" s="1"/>
  <c r="R74" i="6"/>
  <c r="Q74" i="6"/>
  <c r="I75" i="6"/>
  <c r="W75" i="6"/>
  <c r="I11" i="6"/>
  <c r="AA10" i="6"/>
  <c r="AB10" i="6" s="1"/>
  <c r="AC10" i="6" s="1"/>
  <c r="AD10" i="6" s="1"/>
  <c r="R10" i="6"/>
  <c r="Q10" i="6"/>
  <c r="AC74" i="6" l="1"/>
  <c r="AD74" i="6" s="1"/>
  <c r="AG74" i="6"/>
  <c r="AG138" i="6"/>
  <c r="J139" i="6"/>
  <c r="O139" i="6"/>
  <c r="X139" i="6"/>
  <c r="J75" i="6"/>
  <c r="O75" i="6"/>
  <c r="X75" i="6"/>
  <c r="AE75" i="6"/>
  <c r="J11" i="6"/>
  <c r="O11" i="6"/>
  <c r="X11" i="6"/>
  <c r="AG10" i="6"/>
  <c r="AC138" i="6"/>
  <c r="AD138" i="6" s="1"/>
  <c r="M139" i="6" l="1"/>
  <c r="P139" i="6"/>
  <c r="S139" i="6"/>
  <c r="Y139" i="6"/>
  <c r="Z139" i="6"/>
  <c r="K163" i="6"/>
  <c r="M75" i="6"/>
  <c r="P75" i="6"/>
  <c r="S75" i="6"/>
  <c r="Y75" i="6"/>
  <c r="Z75" i="6"/>
  <c r="K99" i="6"/>
  <c r="M11" i="6"/>
  <c r="P11" i="6"/>
  <c r="S11" i="6"/>
  <c r="Y11" i="6"/>
  <c r="Z11" i="6"/>
  <c r="K35" i="6"/>
  <c r="L140" i="6" l="1"/>
  <c r="AF139" i="6"/>
  <c r="N139" i="6"/>
  <c r="AF75" i="6"/>
  <c r="N75" i="6"/>
  <c r="L76" i="6"/>
  <c r="L12" i="6"/>
  <c r="AF11" i="6"/>
  <c r="N11" i="6"/>
  <c r="I140" i="6" l="1"/>
  <c r="AA139" i="6"/>
  <c r="AB139" i="6" s="1"/>
  <c r="AC139" i="6" s="1"/>
  <c r="AD139" i="6" s="1"/>
  <c r="R139" i="6"/>
  <c r="Q139" i="6"/>
  <c r="AA75" i="6"/>
  <c r="AB75" i="6" s="1"/>
  <c r="AC75" i="6" s="1"/>
  <c r="AD75" i="6" s="1"/>
  <c r="R75" i="6"/>
  <c r="Q75" i="6"/>
  <c r="I76" i="6"/>
  <c r="W76" i="6"/>
  <c r="I12" i="6"/>
  <c r="AA11" i="6"/>
  <c r="AB11" i="6" s="1"/>
  <c r="R11" i="6"/>
  <c r="Q11" i="6"/>
  <c r="AC11" i="6" l="1"/>
  <c r="AD11" i="6" s="1"/>
  <c r="J140" i="6"/>
  <c r="O140" i="6"/>
  <c r="X140" i="6"/>
  <c r="J76" i="6"/>
  <c r="O76" i="6"/>
  <c r="X76" i="6"/>
  <c r="AE76" i="6"/>
  <c r="J12" i="6"/>
  <c r="O12" i="6"/>
  <c r="X12" i="6"/>
  <c r="AG139" i="6"/>
  <c r="AG75" i="6"/>
  <c r="AG11" i="6"/>
  <c r="M140" i="6" l="1"/>
  <c r="P140" i="6"/>
  <c r="S140" i="6"/>
  <c r="Y140" i="6"/>
  <c r="K164" i="6"/>
  <c r="Z140" i="6"/>
  <c r="M76" i="6"/>
  <c r="P76" i="6"/>
  <c r="S76" i="6"/>
  <c r="Y76" i="6"/>
  <c r="Z76" i="6"/>
  <c r="K100" i="6"/>
  <c r="M12" i="6"/>
  <c r="P12" i="6"/>
  <c r="S12" i="6"/>
  <c r="Y12" i="6"/>
  <c r="Z12" i="6"/>
  <c r="K36" i="6"/>
  <c r="L141" i="6" l="1"/>
  <c r="AF140" i="6"/>
  <c r="N140" i="6"/>
  <c r="AF76" i="6"/>
  <c r="N76" i="6"/>
  <c r="L77" i="6"/>
  <c r="L13" i="6"/>
  <c r="AF12" i="6"/>
  <c r="N12" i="6"/>
  <c r="I141" i="6" l="1"/>
  <c r="AA140" i="6"/>
  <c r="AB140" i="6" s="1"/>
  <c r="AC140" i="6" s="1"/>
  <c r="AD140" i="6" s="1"/>
  <c r="R140" i="6"/>
  <c r="Q140" i="6"/>
  <c r="AA76" i="6"/>
  <c r="AB76" i="6" s="1"/>
  <c r="R76" i="6"/>
  <c r="Q76" i="6"/>
  <c r="I77" i="6"/>
  <c r="W77" i="6"/>
  <c r="I13" i="6"/>
  <c r="AA12" i="6"/>
  <c r="AB12" i="6" s="1"/>
  <c r="R12" i="6"/>
  <c r="Q12" i="6"/>
  <c r="AG12" i="6" l="1"/>
  <c r="AC76" i="6"/>
  <c r="AD76" i="6" s="1"/>
  <c r="O141" i="6"/>
  <c r="J141" i="6"/>
  <c r="X141" i="6"/>
  <c r="J77" i="6"/>
  <c r="O77" i="6"/>
  <c r="X77" i="6"/>
  <c r="AE77" i="6"/>
  <c r="J13" i="6"/>
  <c r="O13" i="6"/>
  <c r="X13" i="6"/>
  <c r="AC12" i="6"/>
  <c r="AD12" i="6" s="1"/>
  <c r="AG140" i="6"/>
  <c r="AG76" i="6"/>
  <c r="M141" i="6" l="1"/>
  <c r="P141" i="6"/>
  <c r="S141" i="6"/>
  <c r="Z141" i="6"/>
  <c r="Y141" i="6"/>
  <c r="K165" i="6"/>
  <c r="M77" i="6"/>
  <c r="P77" i="6"/>
  <c r="S77" i="6"/>
  <c r="Y77" i="6"/>
  <c r="Z77" i="6"/>
  <c r="K101" i="6"/>
  <c r="M13" i="6"/>
  <c r="P13" i="6"/>
  <c r="S13" i="6"/>
  <c r="Y13" i="6"/>
  <c r="Z13" i="6"/>
  <c r="K37" i="6"/>
  <c r="L142" i="6" l="1"/>
  <c r="AF141" i="6"/>
  <c r="N141" i="6"/>
  <c r="AF77" i="6"/>
  <c r="N77" i="6"/>
  <c r="L78" i="6"/>
  <c r="L14" i="6"/>
  <c r="AF13" i="6"/>
  <c r="N13" i="6"/>
  <c r="I142" i="6" l="1"/>
  <c r="AA141" i="6"/>
  <c r="AB141" i="6" s="1"/>
  <c r="R141" i="6"/>
  <c r="Q141" i="6"/>
  <c r="AA77" i="6"/>
  <c r="AB77" i="6" s="1"/>
  <c r="AC77" i="6" s="1"/>
  <c r="AD77" i="6" s="1"/>
  <c r="R77" i="6"/>
  <c r="Q77" i="6"/>
  <c r="I78" i="6"/>
  <c r="W78" i="6"/>
  <c r="I14" i="6"/>
  <c r="AA13" i="6"/>
  <c r="AB13" i="6" s="1"/>
  <c r="AC13" i="6" s="1"/>
  <c r="AD13" i="6" s="1"/>
  <c r="R13" i="6"/>
  <c r="Q13" i="6"/>
  <c r="AG141" i="6" l="1"/>
  <c r="O142" i="6"/>
  <c r="J142" i="6"/>
  <c r="X142" i="6"/>
  <c r="J78" i="6"/>
  <c r="O78" i="6"/>
  <c r="X78" i="6"/>
  <c r="AE78" i="6"/>
  <c r="J14" i="6"/>
  <c r="O14" i="6"/>
  <c r="X14" i="6"/>
  <c r="AC141" i="6"/>
  <c r="AD141" i="6" s="1"/>
  <c r="AG77" i="6"/>
  <c r="AG13" i="6"/>
  <c r="M142" i="6" l="1"/>
  <c r="Z142" i="6"/>
  <c r="P142" i="6"/>
  <c r="S142" i="6"/>
  <c r="Y142" i="6"/>
  <c r="K166" i="6"/>
  <c r="M78" i="6"/>
  <c r="P78" i="6"/>
  <c r="S78" i="6"/>
  <c r="Y78" i="6"/>
  <c r="Z78" i="6"/>
  <c r="K102" i="6"/>
  <c r="M14" i="6"/>
  <c r="P14" i="6"/>
  <c r="S14" i="6"/>
  <c r="Y14" i="6"/>
  <c r="Z14" i="6"/>
  <c r="K38" i="6"/>
  <c r="L143" i="6" l="1"/>
  <c r="AF142" i="6"/>
  <c r="N142" i="6"/>
  <c r="AF78" i="6"/>
  <c r="N78" i="6"/>
  <c r="L79" i="6"/>
  <c r="L15" i="6"/>
  <c r="AF14" i="6"/>
  <c r="N14" i="6"/>
  <c r="I143" i="6" l="1"/>
  <c r="AA142" i="6"/>
  <c r="AB142" i="6" s="1"/>
  <c r="R142" i="6"/>
  <c r="Q142" i="6"/>
  <c r="AA78" i="6"/>
  <c r="AB78" i="6" s="1"/>
  <c r="AC78" i="6" s="1"/>
  <c r="AD78" i="6" s="1"/>
  <c r="R78" i="6"/>
  <c r="Q78" i="6"/>
  <c r="I79" i="6"/>
  <c r="W79" i="6"/>
  <c r="I15" i="6"/>
  <c r="AA14" i="6"/>
  <c r="AB14" i="6" s="1"/>
  <c r="AC14" i="6" s="1"/>
  <c r="AD14" i="6" s="1"/>
  <c r="R14" i="6"/>
  <c r="Q14" i="6"/>
  <c r="AG142" i="6" l="1"/>
  <c r="J143" i="6"/>
  <c r="O143" i="6"/>
  <c r="X143" i="6"/>
  <c r="J79" i="6"/>
  <c r="O79" i="6"/>
  <c r="X79" i="6"/>
  <c r="AE79" i="6"/>
  <c r="J15" i="6"/>
  <c r="O15" i="6"/>
  <c r="X15" i="6"/>
  <c r="AG78" i="6"/>
  <c r="AG14" i="6"/>
  <c r="AC142" i="6"/>
  <c r="AD142" i="6" s="1"/>
  <c r="M143" i="6" l="1"/>
  <c r="K167" i="6"/>
  <c r="P143" i="6"/>
  <c r="S143" i="6"/>
  <c r="Z143" i="6"/>
  <c r="Y143" i="6"/>
  <c r="M79" i="6"/>
  <c r="P79" i="6"/>
  <c r="S79" i="6"/>
  <c r="Y79" i="6"/>
  <c r="Z79" i="6"/>
  <c r="K103" i="6"/>
  <c r="M15" i="6"/>
  <c r="P15" i="6"/>
  <c r="S15" i="6"/>
  <c r="Y15" i="6"/>
  <c r="Z15" i="6"/>
  <c r="K39" i="6"/>
  <c r="L144" i="6" l="1"/>
  <c r="AF143" i="6"/>
  <c r="N143" i="6"/>
  <c r="AF79" i="6"/>
  <c r="N79" i="6"/>
  <c r="L80" i="6"/>
  <c r="L16" i="6"/>
  <c r="AF15" i="6"/>
  <c r="N15" i="6"/>
  <c r="I144" i="6" l="1"/>
  <c r="AA143" i="6"/>
  <c r="AB143" i="6" s="1"/>
  <c r="AC143" i="6" s="1"/>
  <c r="AD143" i="6" s="1"/>
  <c r="R143" i="6"/>
  <c r="Q143" i="6"/>
  <c r="AA79" i="6"/>
  <c r="AB79" i="6" s="1"/>
  <c r="R79" i="6"/>
  <c r="AG79" i="6" s="1"/>
  <c r="Q79" i="6"/>
  <c r="I80" i="6"/>
  <c r="W80" i="6"/>
  <c r="I16" i="6"/>
  <c r="AA15" i="6"/>
  <c r="AB15" i="6" s="1"/>
  <c r="R15" i="6"/>
  <c r="Q15" i="6"/>
  <c r="AC15" i="6" l="1"/>
  <c r="AD15" i="6" s="1"/>
  <c r="AG15" i="6"/>
  <c r="O144" i="6"/>
  <c r="J144" i="6"/>
  <c r="X144" i="6"/>
  <c r="J80" i="6"/>
  <c r="O80" i="6"/>
  <c r="X80" i="6"/>
  <c r="AE80" i="6"/>
  <c r="J16" i="6"/>
  <c r="O16" i="6"/>
  <c r="X16" i="6"/>
  <c r="AG143" i="6"/>
  <c r="AC79" i="6"/>
  <c r="AD79" i="6" s="1"/>
  <c r="M144" i="6" l="1"/>
  <c r="P144" i="6"/>
  <c r="S144" i="6"/>
  <c r="K168" i="6"/>
  <c r="Y144" i="6"/>
  <c r="Z144" i="6"/>
  <c r="M80" i="6"/>
  <c r="P80" i="6"/>
  <c r="S80" i="6"/>
  <c r="Y80" i="6"/>
  <c r="Z80" i="6"/>
  <c r="K104" i="6"/>
  <c r="M16" i="6"/>
  <c r="P16" i="6"/>
  <c r="S16" i="6"/>
  <c r="Y16" i="6"/>
  <c r="Z16" i="6"/>
  <c r="K40" i="6"/>
  <c r="L145" i="6" l="1"/>
  <c r="AF144" i="6"/>
  <c r="N144" i="6"/>
  <c r="AF80" i="6"/>
  <c r="N80" i="6"/>
  <c r="L81" i="6"/>
  <c r="L17" i="6"/>
  <c r="AF16" i="6"/>
  <c r="N16" i="6"/>
  <c r="I145" i="6" l="1"/>
  <c r="AA144" i="6"/>
  <c r="AB144" i="6" s="1"/>
  <c r="AC144" i="6" s="1"/>
  <c r="AD144" i="6" s="1"/>
  <c r="R144" i="6"/>
  <c r="Q144" i="6"/>
  <c r="AA80" i="6"/>
  <c r="AB80" i="6" s="1"/>
  <c r="R80" i="6"/>
  <c r="Q80" i="6"/>
  <c r="I81" i="6"/>
  <c r="W81" i="6"/>
  <c r="I17" i="6"/>
  <c r="AA16" i="6"/>
  <c r="AB16" i="6" s="1"/>
  <c r="R16" i="6"/>
  <c r="Q16" i="6"/>
  <c r="AG80" i="6" l="1"/>
  <c r="AG16" i="6"/>
  <c r="O145" i="6"/>
  <c r="X145" i="6"/>
  <c r="J145" i="6"/>
  <c r="J81" i="6"/>
  <c r="O81" i="6"/>
  <c r="X81" i="6"/>
  <c r="AE81" i="6"/>
  <c r="J17" i="6"/>
  <c r="O17" i="6"/>
  <c r="X17" i="6"/>
  <c r="AG144" i="6"/>
  <c r="AC80" i="6"/>
  <c r="AD80" i="6" s="1"/>
  <c r="AC16" i="6"/>
  <c r="AD16" i="6" s="1"/>
  <c r="M145" i="6" l="1"/>
  <c r="P145" i="6"/>
  <c r="S145" i="6"/>
  <c r="Y145" i="6"/>
  <c r="Z145" i="6"/>
  <c r="K169" i="6"/>
  <c r="M81" i="6"/>
  <c r="P81" i="6"/>
  <c r="S81" i="6"/>
  <c r="Y81" i="6"/>
  <c r="Z81" i="6"/>
  <c r="K105" i="6"/>
  <c r="M17" i="6"/>
  <c r="P17" i="6"/>
  <c r="S17" i="6"/>
  <c r="Y17" i="6"/>
  <c r="Z17" i="6"/>
  <c r="K41" i="6"/>
  <c r="L146" i="6" l="1"/>
  <c r="AF145" i="6"/>
  <c r="N145" i="6"/>
  <c r="AF81" i="6"/>
  <c r="N81" i="6"/>
  <c r="L82" i="6"/>
  <c r="L18" i="6"/>
  <c r="AF17" i="6"/>
  <c r="N17" i="6"/>
  <c r="I146" i="6" l="1"/>
  <c r="AA145" i="6"/>
  <c r="AB145" i="6" s="1"/>
  <c r="R145" i="6"/>
  <c r="Q145" i="6"/>
  <c r="AA81" i="6"/>
  <c r="AB81" i="6" s="1"/>
  <c r="AC81" i="6" s="1"/>
  <c r="AD81" i="6" s="1"/>
  <c r="R81" i="6"/>
  <c r="Q81" i="6"/>
  <c r="I82" i="6"/>
  <c r="W82" i="6"/>
  <c r="I18" i="6"/>
  <c r="AA17" i="6"/>
  <c r="AB17" i="6" s="1"/>
  <c r="R17" i="6"/>
  <c r="Q17" i="6"/>
  <c r="AG145" i="6" l="1"/>
  <c r="AG17" i="6"/>
  <c r="X146" i="6"/>
  <c r="J146" i="6"/>
  <c r="O146" i="6"/>
  <c r="J82" i="6"/>
  <c r="O82" i="6"/>
  <c r="X82" i="6"/>
  <c r="AE82" i="6"/>
  <c r="J18" i="6"/>
  <c r="O18" i="6"/>
  <c r="X18" i="6"/>
  <c r="AC17" i="6"/>
  <c r="AD17" i="6" s="1"/>
  <c r="AC145" i="6"/>
  <c r="AD145" i="6" s="1"/>
  <c r="AG81" i="6"/>
  <c r="M146" i="6" l="1"/>
  <c r="Y146" i="6"/>
  <c r="K170" i="6"/>
  <c r="P146" i="6"/>
  <c r="S146" i="6"/>
  <c r="Z146" i="6"/>
  <c r="M82" i="6"/>
  <c r="P82" i="6"/>
  <c r="S82" i="6"/>
  <c r="Y82" i="6"/>
  <c r="Z82" i="6"/>
  <c r="K106" i="6"/>
  <c r="M18" i="6"/>
  <c r="P18" i="6"/>
  <c r="S18" i="6"/>
  <c r="Y18" i="6"/>
  <c r="Z18" i="6"/>
  <c r="K42" i="6"/>
  <c r="L147" i="6" l="1"/>
  <c r="AF146" i="6"/>
  <c r="N146" i="6"/>
  <c r="AF82" i="6"/>
  <c r="N82" i="6"/>
  <c r="L83" i="6"/>
  <c r="L19" i="6"/>
  <c r="AF18" i="6"/>
  <c r="N18" i="6"/>
  <c r="I147" i="6" l="1"/>
  <c r="AA146" i="6"/>
  <c r="AB146" i="6" s="1"/>
  <c r="R146" i="6"/>
  <c r="Q146" i="6"/>
  <c r="AA82" i="6"/>
  <c r="AB82" i="6" s="1"/>
  <c r="R82" i="6"/>
  <c r="Q82" i="6"/>
  <c r="I83" i="6"/>
  <c r="W83" i="6"/>
  <c r="I19" i="6"/>
  <c r="AA18" i="6"/>
  <c r="AB18" i="6" s="1"/>
  <c r="R18" i="6"/>
  <c r="Q18" i="6"/>
  <c r="AG82" i="6" l="1"/>
  <c r="AC146" i="6"/>
  <c r="AD146" i="6" s="1"/>
  <c r="AG18" i="6"/>
  <c r="O147" i="6"/>
  <c r="J147" i="6"/>
  <c r="X147" i="6"/>
  <c r="J83" i="6"/>
  <c r="O83" i="6"/>
  <c r="X83" i="6"/>
  <c r="AE83" i="6"/>
  <c r="J19" i="6"/>
  <c r="O19" i="6"/>
  <c r="X19" i="6"/>
  <c r="AC18" i="6"/>
  <c r="AD18" i="6" s="1"/>
  <c r="AG146" i="6"/>
  <c r="AC82" i="6"/>
  <c r="AD82" i="6" s="1"/>
  <c r="M147" i="6" l="1"/>
  <c r="K171" i="6"/>
  <c r="P147" i="6"/>
  <c r="S147" i="6"/>
  <c r="Y147" i="6"/>
  <c r="Z147" i="6"/>
  <c r="M83" i="6"/>
  <c r="P83" i="6"/>
  <c r="S83" i="6"/>
  <c r="Y83" i="6"/>
  <c r="Z83" i="6"/>
  <c r="K107" i="6"/>
  <c r="M19" i="6"/>
  <c r="P19" i="6"/>
  <c r="S19" i="6"/>
  <c r="Y19" i="6"/>
  <c r="Z19" i="6"/>
  <c r="K43" i="6"/>
  <c r="L148" i="6" l="1"/>
  <c r="AF147" i="6"/>
  <c r="N147" i="6"/>
  <c r="AF83" i="6"/>
  <c r="N83" i="6"/>
  <c r="L84" i="6"/>
  <c r="L20" i="6"/>
  <c r="AF19" i="6"/>
  <c r="N19" i="6"/>
  <c r="I148" i="6" l="1"/>
  <c r="AA147" i="6"/>
  <c r="AB147" i="6" s="1"/>
  <c r="R147" i="6"/>
  <c r="AG147" i="6" s="1"/>
  <c r="Q147" i="6"/>
  <c r="AA83" i="6"/>
  <c r="AB83" i="6" s="1"/>
  <c r="R83" i="6"/>
  <c r="Q83" i="6"/>
  <c r="I84" i="6"/>
  <c r="W84" i="6"/>
  <c r="I20" i="6"/>
  <c r="AA19" i="6"/>
  <c r="AB19" i="6" s="1"/>
  <c r="R19" i="6"/>
  <c r="Q19" i="6"/>
  <c r="AC19" i="6" l="1"/>
  <c r="AD19" i="6" s="1"/>
  <c r="AC83" i="6"/>
  <c r="AD83" i="6" s="1"/>
  <c r="O148" i="6"/>
  <c r="J148" i="6"/>
  <c r="X148" i="6"/>
  <c r="J84" i="6"/>
  <c r="O84" i="6"/>
  <c r="X84" i="6"/>
  <c r="AE84" i="6"/>
  <c r="J20" i="6"/>
  <c r="O20" i="6"/>
  <c r="X20" i="6"/>
  <c r="AG83" i="6"/>
  <c r="AG19" i="6"/>
  <c r="AC147" i="6"/>
  <c r="AD147" i="6" s="1"/>
  <c r="M148" i="6" l="1"/>
  <c r="C35" i="3"/>
  <c r="P148" i="6"/>
  <c r="S148" i="6"/>
  <c r="Y148" i="6"/>
  <c r="K172" i="6"/>
  <c r="Z148" i="6"/>
  <c r="J35" i="3" s="1"/>
  <c r="M84" i="6"/>
  <c r="C34" i="3"/>
  <c r="J34" i="3"/>
  <c r="P84" i="6"/>
  <c r="S84" i="6"/>
  <c r="Y84" i="6"/>
  <c r="Z84" i="6"/>
  <c r="K108" i="6"/>
  <c r="M20" i="6"/>
  <c r="C33" i="3"/>
  <c r="P20" i="6"/>
  <c r="S20" i="6"/>
  <c r="Y20" i="6"/>
  <c r="Z20" i="6"/>
  <c r="J33" i="3" s="1"/>
  <c r="K44" i="6"/>
  <c r="L149" i="6" l="1"/>
  <c r="AF148" i="6"/>
  <c r="N148" i="6"/>
  <c r="AF84" i="6"/>
  <c r="N84" i="6"/>
  <c r="L85" i="6"/>
  <c r="L21" i="6"/>
  <c r="AF20" i="6"/>
  <c r="N20" i="6"/>
  <c r="I149" i="6" l="1"/>
  <c r="AA148" i="6"/>
  <c r="AB148" i="6" s="1"/>
  <c r="R148" i="6"/>
  <c r="Q148" i="6"/>
  <c r="AA84" i="6"/>
  <c r="AB84" i="6" s="1"/>
  <c r="R84" i="6"/>
  <c r="Q84" i="6"/>
  <c r="I85" i="6"/>
  <c r="W85" i="6"/>
  <c r="I21" i="6"/>
  <c r="AA20" i="6"/>
  <c r="AB20" i="6" s="1"/>
  <c r="AC20" i="6" s="1"/>
  <c r="AD20" i="6" s="1"/>
  <c r="R20" i="6"/>
  <c r="Q20" i="6"/>
  <c r="AC148" i="6" l="1"/>
  <c r="AD148" i="6" s="1"/>
  <c r="AC84" i="6"/>
  <c r="AD84" i="6" s="1"/>
  <c r="J149" i="6"/>
  <c r="O149" i="6"/>
  <c r="X149" i="6"/>
  <c r="J85" i="6"/>
  <c r="O85" i="6"/>
  <c r="X85" i="6"/>
  <c r="AE85" i="6"/>
  <c r="J21" i="6"/>
  <c r="O21" i="6"/>
  <c r="X21" i="6"/>
  <c r="AG84" i="6"/>
  <c r="AG20" i="6"/>
  <c r="AG148" i="6"/>
  <c r="M149" i="6" l="1"/>
  <c r="P149" i="6"/>
  <c r="S149" i="6"/>
  <c r="Y149" i="6"/>
  <c r="Z149" i="6"/>
  <c r="K173" i="6"/>
  <c r="M85" i="6"/>
  <c r="P85" i="6"/>
  <c r="S85" i="6"/>
  <c r="Y85" i="6"/>
  <c r="Z85" i="6"/>
  <c r="K109" i="6"/>
  <c r="M21" i="6"/>
  <c r="P21" i="6"/>
  <c r="S21" i="6"/>
  <c r="Y21" i="6"/>
  <c r="Z21" i="6"/>
  <c r="K45" i="6"/>
  <c r="L150" i="6" l="1"/>
  <c r="AF149" i="6"/>
  <c r="N149" i="6"/>
  <c r="AF85" i="6"/>
  <c r="N85" i="6"/>
  <c r="L86" i="6"/>
  <c r="L22" i="6"/>
  <c r="AF21" i="6"/>
  <c r="N21" i="6"/>
  <c r="I150" i="6" l="1"/>
  <c r="AA149" i="6"/>
  <c r="AB149" i="6" s="1"/>
  <c r="R149" i="6"/>
  <c r="Q149" i="6"/>
  <c r="AA85" i="6"/>
  <c r="AB85" i="6" s="1"/>
  <c r="R85" i="6"/>
  <c r="Q85" i="6"/>
  <c r="I86" i="6"/>
  <c r="W86" i="6"/>
  <c r="I22" i="6"/>
  <c r="AA21" i="6"/>
  <c r="AB21" i="6" s="1"/>
  <c r="R21" i="6"/>
  <c r="Q21" i="6"/>
  <c r="AG85" i="6" l="1"/>
  <c r="AG21" i="6"/>
  <c r="AC149" i="6"/>
  <c r="AD149" i="6" s="1"/>
  <c r="J150" i="6"/>
  <c r="O150" i="6"/>
  <c r="X150" i="6"/>
  <c r="J86" i="6"/>
  <c r="O86" i="6"/>
  <c r="X86" i="6"/>
  <c r="AE86" i="6"/>
  <c r="J22" i="6"/>
  <c r="O22" i="6"/>
  <c r="X22" i="6"/>
  <c r="AC21" i="6"/>
  <c r="AD21" i="6" s="1"/>
  <c r="AG149" i="6"/>
  <c r="AC85" i="6"/>
  <c r="AD85" i="6" s="1"/>
  <c r="M150" i="6" l="1"/>
  <c r="P150" i="6"/>
  <c r="S150" i="6"/>
  <c r="Y150" i="6"/>
  <c r="Z150" i="6"/>
  <c r="K174" i="6"/>
  <c r="M86" i="6"/>
  <c r="P86" i="6"/>
  <c r="S86" i="6"/>
  <c r="Y86" i="6"/>
  <c r="Z86" i="6"/>
  <c r="K110" i="6"/>
  <c r="M22" i="6"/>
  <c r="P22" i="6"/>
  <c r="S22" i="6"/>
  <c r="Y22" i="6"/>
  <c r="Z22" i="6"/>
  <c r="K46" i="6"/>
  <c r="L151" i="6" l="1"/>
  <c r="AF150" i="6"/>
  <c r="N150" i="6"/>
  <c r="AF86" i="6"/>
  <c r="N86" i="6"/>
  <c r="L87" i="6"/>
  <c r="L23" i="6"/>
  <c r="AF22" i="6"/>
  <c r="N22" i="6"/>
  <c r="I151" i="6" l="1"/>
  <c r="AA150" i="6"/>
  <c r="AB150" i="6" s="1"/>
  <c r="AC150" i="6" s="1"/>
  <c r="AD150" i="6" s="1"/>
  <c r="R150" i="6"/>
  <c r="Q150" i="6"/>
  <c r="AA86" i="6"/>
  <c r="AB86" i="6" s="1"/>
  <c r="R86" i="6"/>
  <c r="Q86" i="6"/>
  <c r="I87" i="6"/>
  <c r="W87" i="6"/>
  <c r="I23" i="6"/>
  <c r="AA22" i="6"/>
  <c r="AB22" i="6" s="1"/>
  <c r="R22" i="6"/>
  <c r="Q22" i="6"/>
  <c r="AC86" i="6" l="1"/>
  <c r="AD86" i="6" s="1"/>
  <c r="AC22" i="6"/>
  <c r="AD22" i="6" s="1"/>
  <c r="J151" i="6"/>
  <c r="O151" i="6"/>
  <c r="X151" i="6"/>
  <c r="J87" i="6"/>
  <c r="O87" i="6"/>
  <c r="X87" i="6"/>
  <c r="AE87" i="6"/>
  <c r="J23" i="6"/>
  <c r="O23" i="6"/>
  <c r="X23" i="6"/>
  <c r="AG150" i="6"/>
  <c r="AG22" i="6"/>
  <c r="AG86" i="6"/>
  <c r="M151" i="6" l="1"/>
  <c r="P151" i="6"/>
  <c r="S151" i="6"/>
  <c r="Y151" i="6"/>
  <c r="Z151" i="6"/>
  <c r="K175" i="6"/>
  <c r="M87" i="6"/>
  <c r="P87" i="6"/>
  <c r="S87" i="6"/>
  <c r="Y87" i="6"/>
  <c r="Z87" i="6"/>
  <c r="K111" i="6"/>
  <c r="M23" i="6"/>
  <c r="P23" i="6"/>
  <c r="S23" i="6"/>
  <c r="Y23" i="6"/>
  <c r="Z23" i="6"/>
  <c r="K47" i="6"/>
  <c r="L152" i="6" l="1"/>
  <c r="AF151" i="6"/>
  <c r="N151" i="6"/>
  <c r="AF87" i="6"/>
  <c r="N87" i="6"/>
  <c r="L88" i="6"/>
  <c r="L24" i="6"/>
  <c r="AF23" i="6"/>
  <c r="N23" i="6"/>
  <c r="I152" i="6" l="1"/>
  <c r="AA151" i="6"/>
  <c r="AB151" i="6" s="1"/>
  <c r="R151" i="6"/>
  <c r="Q151" i="6"/>
  <c r="AA87" i="6"/>
  <c r="AB87" i="6" s="1"/>
  <c r="R87" i="6"/>
  <c r="Q87" i="6"/>
  <c r="I88" i="6"/>
  <c r="W88" i="6"/>
  <c r="I24" i="6"/>
  <c r="AA23" i="6"/>
  <c r="AB23" i="6" s="1"/>
  <c r="R23" i="6"/>
  <c r="Q23" i="6"/>
  <c r="AC23" i="6" l="1"/>
  <c r="AD23" i="6" s="1"/>
  <c r="AC87" i="6"/>
  <c r="AD87" i="6" s="1"/>
  <c r="AG151" i="6"/>
  <c r="J152" i="6"/>
  <c r="O152" i="6"/>
  <c r="X152" i="6"/>
  <c r="J88" i="6"/>
  <c r="O88" i="6"/>
  <c r="X88" i="6"/>
  <c r="AE88" i="6"/>
  <c r="J24" i="6"/>
  <c r="O24" i="6"/>
  <c r="X24" i="6"/>
  <c r="AG87" i="6"/>
  <c r="AC151" i="6"/>
  <c r="AD151" i="6" s="1"/>
  <c r="AG23" i="6"/>
  <c r="M152" i="6" l="1"/>
  <c r="P152" i="6"/>
  <c r="S152" i="6"/>
  <c r="Y152" i="6"/>
  <c r="Z152" i="6"/>
  <c r="K176" i="6"/>
  <c r="M88" i="6"/>
  <c r="P88" i="6"/>
  <c r="S88" i="6"/>
  <c r="Y88" i="6"/>
  <c r="Z88" i="6"/>
  <c r="K112" i="6"/>
  <c r="M24" i="6"/>
  <c r="P24" i="6"/>
  <c r="S24" i="6"/>
  <c r="Y24" i="6"/>
  <c r="Z24" i="6"/>
  <c r="K48" i="6"/>
  <c r="L153" i="6" l="1"/>
  <c r="AF152" i="6"/>
  <c r="N152" i="6"/>
  <c r="AF88" i="6"/>
  <c r="N88" i="6"/>
  <c r="L89" i="6"/>
  <c r="L25" i="6"/>
  <c r="AF24" i="6"/>
  <c r="N24" i="6"/>
  <c r="I153" i="6" l="1"/>
  <c r="AA152" i="6"/>
  <c r="AB152" i="6" s="1"/>
  <c r="R152" i="6"/>
  <c r="Q152" i="6"/>
  <c r="AA88" i="6"/>
  <c r="AB88" i="6" s="1"/>
  <c r="R88" i="6"/>
  <c r="Q88" i="6"/>
  <c r="I89" i="6"/>
  <c r="W89" i="6"/>
  <c r="I25" i="6"/>
  <c r="AA24" i="6"/>
  <c r="AB24" i="6" s="1"/>
  <c r="R24" i="6"/>
  <c r="Q24" i="6"/>
  <c r="AC152" i="6" l="1"/>
  <c r="AD152" i="6" s="1"/>
  <c r="AG88" i="6"/>
  <c r="AG24" i="6"/>
  <c r="J153" i="6"/>
  <c r="O153" i="6"/>
  <c r="X153" i="6"/>
  <c r="J89" i="6"/>
  <c r="O89" i="6"/>
  <c r="X89" i="6"/>
  <c r="AE89" i="6"/>
  <c r="J25" i="6"/>
  <c r="O25" i="6"/>
  <c r="X25" i="6"/>
  <c r="AG152" i="6"/>
  <c r="AC88" i="6"/>
  <c r="AD88" i="6" s="1"/>
  <c r="AC24" i="6"/>
  <c r="AD24" i="6" s="1"/>
  <c r="M153" i="6" l="1"/>
  <c r="P153" i="6"/>
  <c r="S153" i="6"/>
  <c r="Y153" i="6"/>
  <c r="Z153" i="6"/>
  <c r="K177" i="6"/>
  <c r="M89" i="6"/>
  <c r="P89" i="6"/>
  <c r="S89" i="6"/>
  <c r="Y89" i="6"/>
  <c r="Z89" i="6"/>
  <c r="K113" i="6"/>
  <c r="M25" i="6"/>
  <c r="P25" i="6"/>
  <c r="S25" i="6"/>
  <c r="Y25" i="6"/>
  <c r="Z25" i="6"/>
  <c r="K49" i="6"/>
  <c r="L154" i="6" l="1"/>
  <c r="AF153" i="6"/>
  <c r="N153" i="6"/>
  <c r="AF89" i="6"/>
  <c r="N89" i="6"/>
  <c r="L90" i="6"/>
  <c r="L26" i="6"/>
  <c r="AF25" i="6"/>
  <c r="N25" i="6"/>
  <c r="I154" i="6" l="1"/>
  <c r="AA153" i="6"/>
  <c r="AB153" i="6" s="1"/>
  <c r="AC153" i="6" s="1"/>
  <c r="AD153" i="6" s="1"/>
  <c r="R153" i="6"/>
  <c r="Q153" i="6"/>
  <c r="AA89" i="6"/>
  <c r="AB89" i="6" s="1"/>
  <c r="AC89" i="6" s="1"/>
  <c r="AD89" i="6" s="1"/>
  <c r="R89" i="6"/>
  <c r="Q89" i="6"/>
  <c r="I90" i="6"/>
  <c r="W90" i="6"/>
  <c r="I26" i="6"/>
  <c r="AA25" i="6"/>
  <c r="AB25" i="6" s="1"/>
  <c r="AC25" i="6" s="1"/>
  <c r="AD25" i="6" s="1"/>
  <c r="R25" i="6"/>
  <c r="Q25" i="6"/>
  <c r="J154" i="6" l="1"/>
  <c r="O154" i="6"/>
  <c r="X154" i="6"/>
  <c r="J90" i="6"/>
  <c r="O90" i="6"/>
  <c r="X90" i="6"/>
  <c r="AE90" i="6"/>
  <c r="J26" i="6"/>
  <c r="O26" i="6"/>
  <c r="X26" i="6"/>
  <c r="AG153" i="6"/>
  <c r="AG25" i="6"/>
  <c r="AG89" i="6"/>
  <c r="M154" i="6" l="1"/>
  <c r="P154" i="6"/>
  <c r="S154" i="6"/>
  <c r="Y154" i="6"/>
  <c r="Z154" i="6"/>
  <c r="K178" i="6"/>
  <c r="M90" i="6"/>
  <c r="P90" i="6"/>
  <c r="S90" i="6"/>
  <c r="Y90" i="6"/>
  <c r="Z90" i="6"/>
  <c r="K114" i="6"/>
  <c r="M26" i="6"/>
  <c r="P26" i="6"/>
  <c r="S26" i="6"/>
  <c r="Y26" i="6"/>
  <c r="Z26" i="6"/>
  <c r="K50" i="6"/>
  <c r="L155" i="6" l="1"/>
  <c r="AF154" i="6"/>
  <c r="N154" i="6"/>
  <c r="AF90" i="6"/>
  <c r="N90" i="6"/>
  <c r="L91" i="6"/>
  <c r="L27" i="6"/>
  <c r="AF26" i="6"/>
  <c r="N26" i="6"/>
  <c r="I155" i="6" l="1"/>
  <c r="AA154" i="6"/>
  <c r="AB154" i="6" s="1"/>
  <c r="AC154" i="6" s="1"/>
  <c r="AD154" i="6" s="1"/>
  <c r="R154" i="6"/>
  <c r="Q154" i="6"/>
  <c r="AA90" i="6"/>
  <c r="AB90" i="6" s="1"/>
  <c r="AC90" i="6" s="1"/>
  <c r="AD90" i="6" s="1"/>
  <c r="R90" i="6"/>
  <c r="Q90" i="6"/>
  <c r="I91" i="6"/>
  <c r="W91" i="6"/>
  <c r="I27" i="6"/>
  <c r="AA26" i="6"/>
  <c r="AB26" i="6" s="1"/>
  <c r="AC26" i="6" s="1"/>
  <c r="AD26" i="6" s="1"/>
  <c r="R26" i="6"/>
  <c r="Q26" i="6"/>
  <c r="AG154" i="6" l="1"/>
  <c r="J155" i="6"/>
  <c r="O155" i="6"/>
  <c r="X155" i="6"/>
  <c r="J91" i="6"/>
  <c r="O91" i="6"/>
  <c r="X91" i="6"/>
  <c r="AE91" i="6"/>
  <c r="J27" i="6"/>
  <c r="O27" i="6"/>
  <c r="X27" i="6"/>
  <c r="AG90" i="6"/>
  <c r="AG26" i="6"/>
  <c r="M155" i="6" l="1"/>
  <c r="P155" i="6"/>
  <c r="S155" i="6"/>
  <c r="Y155" i="6"/>
  <c r="Z155" i="6"/>
  <c r="K179" i="6"/>
  <c r="M91" i="6"/>
  <c r="P91" i="6"/>
  <c r="S91" i="6"/>
  <c r="Y91" i="6"/>
  <c r="Z91" i="6"/>
  <c r="K115" i="6"/>
  <c r="M27" i="6"/>
  <c r="P27" i="6"/>
  <c r="S27" i="6"/>
  <c r="Y27" i="6"/>
  <c r="Z27" i="6"/>
  <c r="K51" i="6"/>
  <c r="L156" i="6" l="1"/>
  <c r="AF155" i="6"/>
  <c r="N155" i="6"/>
  <c r="AF91" i="6"/>
  <c r="N91" i="6"/>
  <c r="L92" i="6"/>
  <c r="L28" i="6"/>
  <c r="AF27" i="6"/>
  <c r="N27" i="6"/>
  <c r="I156" i="6" l="1"/>
  <c r="AA155" i="6"/>
  <c r="AB155" i="6" s="1"/>
  <c r="AC155" i="6" s="1"/>
  <c r="AD155" i="6" s="1"/>
  <c r="R155" i="6"/>
  <c r="Q155" i="6"/>
  <c r="AA91" i="6"/>
  <c r="AB91" i="6" s="1"/>
  <c r="AC91" i="6" s="1"/>
  <c r="AD91" i="6" s="1"/>
  <c r="R91" i="6"/>
  <c r="Q91" i="6"/>
  <c r="I92" i="6"/>
  <c r="W92" i="6"/>
  <c r="I28" i="6"/>
  <c r="AA27" i="6"/>
  <c r="AB27" i="6" s="1"/>
  <c r="R27" i="6"/>
  <c r="Q27" i="6"/>
  <c r="AG27" i="6" l="1"/>
  <c r="J156" i="6"/>
  <c r="O156" i="6"/>
  <c r="X156" i="6"/>
  <c r="J92" i="6"/>
  <c r="O92" i="6"/>
  <c r="X92" i="6"/>
  <c r="AE92" i="6"/>
  <c r="J28" i="6"/>
  <c r="O28" i="6"/>
  <c r="X28" i="6"/>
  <c r="AG155" i="6"/>
  <c r="AG91" i="6"/>
  <c r="AC27" i="6"/>
  <c r="AD27" i="6" s="1"/>
  <c r="M156" i="6" l="1"/>
  <c r="P156" i="6"/>
  <c r="S156" i="6"/>
  <c r="Y156" i="6"/>
  <c r="Z156" i="6"/>
  <c r="K180" i="6"/>
  <c r="M92" i="6"/>
  <c r="P92" i="6"/>
  <c r="S92" i="6"/>
  <c r="Y92" i="6"/>
  <c r="Z92" i="6"/>
  <c r="K116" i="6"/>
  <c r="M28" i="6"/>
  <c r="P28" i="6"/>
  <c r="S28" i="6"/>
  <c r="Y28" i="6"/>
  <c r="Z28" i="6"/>
  <c r="K52" i="6"/>
  <c r="L157" i="6" l="1"/>
  <c r="AF156" i="6"/>
  <c r="N156" i="6"/>
  <c r="AF92" i="6"/>
  <c r="N92" i="6"/>
  <c r="L93" i="6"/>
  <c r="L29" i="6"/>
  <c r="AF28" i="6"/>
  <c r="N28" i="6"/>
  <c r="I157" i="6" l="1"/>
  <c r="AA156" i="6"/>
  <c r="AB156" i="6" s="1"/>
  <c r="AC156" i="6" s="1"/>
  <c r="AD156" i="6" s="1"/>
  <c r="R156" i="6"/>
  <c r="Q156" i="6"/>
  <c r="AA92" i="6"/>
  <c r="AB92" i="6" s="1"/>
  <c r="R92" i="6"/>
  <c r="Q92" i="6"/>
  <c r="I93" i="6"/>
  <c r="W93" i="6"/>
  <c r="I29" i="6"/>
  <c r="AA28" i="6"/>
  <c r="AB28" i="6" s="1"/>
  <c r="R28" i="6"/>
  <c r="Q28" i="6"/>
  <c r="AG92" i="6" l="1"/>
  <c r="AG28" i="6"/>
  <c r="J157" i="6"/>
  <c r="O157" i="6"/>
  <c r="X157" i="6"/>
  <c r="J93" i="6"/>
  <c r="O93" i="6"/>
  <c r="X93" i="6"/>
  <c r="AE93" i="6"/>
  <c r="J29" i="6"/>
  <c r="O29" i="6"/>
  <c r="X29" i="6"/>
  <c r="AG156" i="6"/>
  <c r="AC92" i="6"/>
  <c r="AD92" i="6" s="1"/>
  <c r="AC28" i="6"/>
  <c r="AD28" i="6" s="1"/>
  <c r="M157" i="6" l="1"/>
  <c r="P157" i="6"/>
  <c r="S157" i="6"/>
  <c r="Y157" i="6"/>
  <c r="Z157" i="6"/>
  <c r="K181" i="6"/>
  <c r="M93" i="6"/>
  <c r="P93" i="6"/>
  <c r="S93" i="6"/>
  <c r="Y93" i="6"/>
  <c r="Z93" i="6"/>
  <c r="K117" i="6"/>
  <c r="M29" i="6"/>
  <c r="P29" i="6"/>
  <c r="S29" i="6"/>
  <c r="Y29" i="6"/>
  <c r="Z29" i="6"/>
  <c r="K53" i="6"/>
  <c r="L158" i="6" l="1"/>
  <c r="AF157" i="6"/>
  <c r="N157" i="6"/>
  <c r="AF93" i="6"/>
  <c r="N93" i="6"/>
  <c r="L94" i="6"/>
  <c r="L30" i="6"/>
  <c r="AF29" i="6"/>
  <c r="N29" i="6"/>
  <c r="I158" i="6" l="1"/>
  <c r="AA157" i="6"/>
  <c r="AB157" i="6" s="1"/>
  <c r="R157" i="6"/>
  <c r="Q157" i="6"/>
  <c r="AA93" i="6"/>
  <c r="AB93" i="6" s="1"/>
  <c r="AC93" i="6" s="1"/>
  <c r="AD93" i="6" s="1"/>
  <c r="R93" i="6"/>
  <c r="Q93" i="6"/>
  <c r="I94" i="6"/>
  <c r="W94" i="6"/>
  <c r="I30" i="6"/>
  <c r="AA29" i="6"/>
  <c r="AB29" i="6" s="1"/>
  <c r="R29" i="6"/>
  <c r="Q29" i="6"/>
  <c r="AC157" i="6" l="1"/>
  <c r="AD157" i="6" s="1"/>
  <c r="AG29" i="6"/>
  <c r="J158" i="6"/>
  <c r="O158" i="6"/>
  <c r="X158" i="6"/>
  <c r="J94" i="6"/>
  <c r="O94" i="6"/>
  <c r="X94" i="6"/>
  <c r="AE94" i="6"/>
  <c r="J30" i="6"/>
  <c r="O30" i="6"/>
  <c r="X30" i="6"/>
  <c r="AG157" i="6"/>
  <c r="AG93" i="6"/>
  <c r="AC29" i="6"/>
  <c r="AD29" i="6" s="1"/>
  <c r="M158" i="6" l="1"/>
  <c r="P158" i="6"/>
  <c r="S158" i="6"/>
  <c r="K182" i="6"/>
  <c r="Y158" i="6"/>
  <c r="Z158" i="6"/>
  <c r="M94" i="6"/>
  <c r="P94" i="6"/>
  <c r="S94" i="6"/>
  <c r="Y94" i="6"/>
  <c r="Z94" i="6"/>
  <c r="K118" i="6"/>
  <c r="M30" i="6"/>
  <c r="P30" i="6"/>
  <c r="S30" i="6"/>
  <c r="Y30" i="6"/>
  <c r="Z30" i="6"/>
  <c r="K54" i="6"/>
  <c r="L159" i="6" l="1"/>
  <c r="AF158" i="6"/>
  <c r="N158" i="6"/>
  <c r="AF94" i="6"/>
  <c r="N94" i="6"/>
  <c r="L95" i="6"/>
  <c r="L31" i="6"/>
  <c r="AF30" i="6"/>
  <c r="N30" i="6"/>
  <c r="I159" i="6" l="1"/>
  <c r="AA158" i="6"/>
  <c r="AB158" i="6" s="1"/>
  <c r="R158" i="6"/>
  <c r="Q158" i="6"/>
  <c r="AA94" i="6"/>
  <c r="AB94" i="6" s="1"/>
  <c r="AC94" i="6" s="1"/>
  <c r="AD94" i="6" s="1"/>
  <c r="R94" i="6"/>
  <c r="Q94" i="6"/>
  <c r="I95" i="6"/>
  <c r="W95" i="6"/>
  <c r="I31" i="6"/>
  <c r="AA30" i="6"/>
  <c r="AB30" i="6" s="1"/>
  <c r="AC30" i="6" s="1"/>
  <c r="AD30" i="6" s="1"/>
  <c r="R30" i="6"/>
  <c r="Q30" i="6"/>
  <c r="AG158" i="6" l="1"/>
  <c r="AC158" i="6"/>
  <c r="AD158" i="6" s="1"/>
  <c r="J159" i="6"/>
  <c r="O159" i="6"/>
  <c r="X159" i="6"/>
  <c r="J95" i="6"/>
  <c r="O95" i="6"/>
  <c r="X95" i="6"/>
  <c r="AE95" i="6"/>
  <c r="J31" i="6"/>
  <c r="O31" i="6"/>
  <c r="X31" i="6"/>
  <c r="AG94" i="6"/>
  <c r="AG30" i="6"/>
  <c r="M159" i="6" l="1"/>
  <c r="P159" i="6"/>
  <c r="S159" i="6"/>
  <c r="Y159" i="6"/>
  <c r="Z159" i="6"/>
  <c r="K183" i="6"/>
  <c r="M95" i="6"/>
  <c r="P95" i="6"/>
  <c r="S95" i="6"/>
  <c r="Y95" i="6"/>
  <c r="Z95" i="6"/>
  <c r="K119" i="6"/>
  <c r="M31" i="6"/>
  <c r="P31" i="6"/>
  <c r="S31" i="6"/>
  <c r="Y31" i="6"/>
  <c r="Z31" i="6"/>
  <c r="K55" i="6"/>
  <c r="L160" i="6" l="1"/>
  <c r="AF159" i="6"/>
  <c r="N159" i="6"/>
  <c r="AF95" i="6"/>
  <c r="N95" i="6"/>
  <c r="L96" i="6"/>
  <c r="L32" i="6"/>
  <c r="AF31" i="6"/>
  <c r="N31" i="6"/>
  <c r="I160" i="6" l="1"/>
  <c r="AA159" i="6"/>
  <c r="AB159" i="6" s="1"/>
  <c r="AC159" i="6" s="1"/>
  <c r="AD159" i="6" s="1"/>
  <c r="R159" i="6"/>
  <c r="Q159" i="6"/>
  <c r="AA95" i="6"/>
  <c r="AB95" i="6" s="1"/>
  <c r="R95" i="6"/>
  <c r="Q95" i="6"/>
  <c r="I96" i="6"/>
  <c r="W96" i="6"/>
  <c r="I32" i="6"/>
  <c r="AA31" i="6"/>
  <c r="AB31" i="6" s="1"/>
  <c r="R31" i="6"/>
  <c r="Q31" i="6"/>
  <c r="AG31" i="6" l="1"/>
  <c r="AC95" i="6"/>
  <c r="AD95" i="6" s="1"/>
  <c r="J160" i="6"/>
  <c r="O160" i="6"/>
  <c r="X160" i="6"/>
  <c r="J96" i="6"/>
  <c r="O96" i="6"/>
  <c r="X96" i="6"/>
  <c r="AE96" i="6"/>
  <c r="J32" i="6"/>
  <c r="O32" i="6"/>
  <c r="X32" i="6"/>
  <c r="AG159" i="6"/>
  <c r="AC31" i="6"/>
  <c r="AD31" i="6" s="1"/>
  <c r="AG95" i="6"/>
  <c r="M160" i="6" l="1"/>
  <c r="D35" i="3"/>
  <c r="P160" i="6"/>
  <c r="S160" i="6"/>
  <c r="Y160" i="6"/>
  <c r="Z160" i="6"/>
  <c r="K35" i="3" s="1"/>
  <c r="K184" i="6"/>
  <c r="M96" i="6"/>
  <c r="D34" i="3"/>
  <c r="P96" i="6"/>
  <c r="S96" i="6"/>
  <c r="Y96" i="6"/>
  <c r="Z96" i="6"/>
  <c r="K34" i="3" s="1"/>
  <c r="K120" i="6"/>
  <c r="M32" i="6"/>
  <c r="D33" i="3"/>
  <c r="P32" i="6"/>
  <c r="S32" i="6"/>
  <c r="Y32" i="6"/>
  <c r="Z32" i="6"/>
  <c r="K33" i="3" s="1"/>
  <c r="K56" i="6"/>
  <c r="L161" i="6" l="1"/>
  <c r="AF160" i="6"/>
  <c r="N160" i="6"/>
  <c r="AF96" i="6"/>
  <c r="N96" i="6"/>
  <c r="L97" i="6"/>
  <c r="L33" i="6"/>
  <c r="AF32" i="6"/>
  <c r="N32" i="6"/>
  <c r="I161" i="6" l="1"/>
  <c r="AA160" i="6"/>
  <c r="AB160" i="6" s="1"/>
  <c r="R160" i="6"/>
  <c r="Q160" i="6"/>
  <c r="AA96" i="6"/>
  <c r="AB96" i="6" s="1"/>
  <c r="R96" i="6"/>
  <c r="Q96" i="6"/>
  <c r="I97" i="6"/>
  <c r="W97" i="6"/>
  <c r="I33" i="6"/>
  <c r="AA32" i="6"/>
  <c r="AB32" i="6" s="1"/>
  <c r="AC32" i="6" s="1"/>
  <c r="AD32" i="6" s="1"/>
  <c r="R32" i="6"/>
  <c r="Q32" i="6"/>
  <c r="AG160" i="6" l="1"/>
  <c r="AG96" i="6"/>
  <c r="X161" i="6"/>
  <c r="O161" i="6"/>
  <c r="J161" i="6"/>
  <c r="J97" i="6"/>
  <c r="O97" i="6"/>
  <c r="X97" i="6"/>
  <c r="AE97" i="6"/>
  <c r="J33" i="6"/>
  <c r="O33" i="6"/>
  <c r="X33" i="6"/>
  <c r="AG32" i="6"/>
  <c r="AC160" i="6"/>
  <c r="AD160" i="6" s="1"/>
  <c r="AC96" i="6"/>
  <c r="AD96" i="6" s="1"/>
  <c r="M161" i="6" l="1"/>
  <c r="P161" i="6"/>
  <c r="S161" i="6"/>
  <c r="Y161" i="6"/>
  <c r="Z161" i="6"/>
  <c r="K185" i="6"/>
  <c r="M97" i="6"/>
  <c r="AF97" i="6" s="1"/>
  <c r="P97" i="6"/>
  <c r="S97" i="6"/>
  <c r="Y97" i="6"/>
  <c r="Z97" i="6"/>
  <c r="K121" i="6"/>
  <c r="G34" i="3"/>
  <c r="M33" i="6"/>
  <c r="P33" i="6"/>
  <c r="S33" i="6"/>
  <c r="Y33" i="6"/>
  <c r="Z33" i="6"/>
  <c r="K57" i="6"/>
  <c r="L162" i="6" l="1"/>
  <c r="AF161" i="6"/>
  <c r="N161" i="6"/>
  <c r="N97" i="6"/>
  <c r="L98" i="6"/>
  <c r="L34" i="6"/>
  <c r="AF33" i="6"/>
  <c r="N33" i="6"/>
  <c r="I162" i="6" l="1"/>
  <c r="AA161" i="6"/>
  <c r="AB161" i="6" s="1"/>
  <c r="AC161" i="6" s="1"/>
  <c r="AD161" i="6" s="1"/>
  <c r="R161" i="6"/>
  <c r="Q161" i="6"/>
  <c r="AA97" i="6"/>
  <c r="AB97" i="6" s="1"/>
  <c r="R97" i="6"/>
  <c r="Q97" i="6"/>
  <c r="I98" i="6"/>
  <c r="W98" i="6"/>
  <c r="I34" i="6"/>
  <c r="AA33" i="6"/>
  <c r="AB33" i="6" s="1"/>
  <c r="R33" i="6"/>
  <c r="Q33" i="6"/>
  <c r="AC97" i="6" l="1"/>
  <c r="AD97" i="6" s="1"/>
  <c r="AG33" i="6"/>
  <c r="O162" i="6"/>
  <c r="X162" i="6"/>
  <c r="J162" i="6"/>
  <c r="J98" i="6"/>
  <c r="O98" i="6"/>
  <c r="X98" i="6"/>
  <c r="AE98" i="6"/>
  <c r="J34" i="6"/>
  <c r="O34" i="6"/>
  <c r="X34" i="6"/>
  <c r="AG161" i="6"/>
  <c r="AG97" i="6"/>
  <c r="AC33" i="6"/>
  <c r="AD33" i="6" s="1"/>
  <c r="M162" i="6" l="1"/>
  <c r="Y162" i="6"/>
  <c r="Z162" i="6"/>
  <c r="P162" i="6"/>
  <c r="S162" i="6"/>
  <c r="K186" i="6"/>
  <c r="M98" i="6"/>
  <c r="P98" i="6"/>
  <c r="S98" i="6"/>
  <c r="Y98" i="6"/>
  <c r="Z98" i="6"/>
  <c r="K122" i="6"/>
  <c r="M34" i="6"/>
  <c r="P34" i="6"/>
  <c r="S34" i="6"/>
  <c r="Y34" i="6"/>
  <c r="Z34" i="6"/>
  <c r="K58" i="6"/>
  <c r="L163" i="6" l="1"/>
  <c r="AF162" i="6"/>
  <c r="N162" i="6"/>
  <c r="AF98" i="6"/>
  <c r="N98" i="6"/>
  <c r="L99" i="6"/>
  <c r="L35" i="6"/>
  <c r="AF34" i="6"/>
  <c r="N34" i="6"/>
  <c r="I163" i="6" l="1"/>
  <c r="AA162" i="6"/>
  <c r="AB162" i="6" s="1"/>
  <c r="R162" i="6"/>
  <c r="Q162" i="6"/>
  <c r="AA98" i="6"/>
  <c r="AB98" i="6" s="1"/>
  <c r="R98" i="6"/>
  <c r="Q98" i="6"/>
  <c r="I99" i="6"/>
  <c r="W99" i="6"/>
  <c r="I35" i="6"/>
  <c r="AA34" i="6"/>
  <c r="AB34" i="6" s="1"/>
  <c r="R34" i="6"/>
  <c r="Q34" i="6"/>
  <c r="AC34" i="6" l="1"/>
  <c r="AD34" i="6" s="1"/>
  <c r="AC162" i="6"/>
  <c r="AD162" i="6" s="1"/>
  <c r="AC98" i="6"/>
  <c r="AD98" i="6" s="1"/>
  <c r="X163" i="6"/>
  <c r="O163" i="6"/>
  <c r="J163" i="6"/>
  <c r="J99" i="6"/>
  <c r="O99" i="6"/>
  <c r="X99" i="6"/>
  <c r="AE99" i="6"/>
  <c r="J35" i="6"/>
  <c r="O35" i="6"/>
  <c r="X35" i="6"/>
  <c r="AG162" i="6"/>
  <c r="AG98" i="6"/>
  <c r="AG34" i="6"/>
  <c r="M163" i="6" l="1"/>
  <c r="P163" i="6"/>
  <c r="S163" i="6"/>
  <c r="Z163" i="6"/>
  <c r="K187" i="6"/>
  <c r="Y163" i="6"/>
  <c r="M99" i="6"/>
  <c r="P99" i="6"/>
  <c r="S99" i="6"/>
  <c r="Y99" i="6"/>
  <c r="Z99" i="6"/>
  <c r="K123" i="6"/>
  <c r="M35" i="6"/>
  <c r="P35" i="6"/>
  <c r="S35" i="6"/>
  <c r="Y35" i="6"/>
  <c r="Z35" i="6"/>
  <c r="K59" i="6"/>
  <c r="L164" i="6" l="1"/>
  <c r="AF163" i="6"/>
  <c r="N163" i="6"/>
  <c r="AF99" i="6"/>
  <c r="N99" i="6"/>
  <c r="L100" i="6"/>
  <c r="L36" i="6"/>
  <c r="AF35" i="6"/>
  <c r="N35" i="6"/>
  <c r="I164" i="6" l="1"/>
  <c r="AA163" i="6"/>
  <c r="AB163" i="6" s="1"/>
  <c r="R163" i="6"/>
  <c r="Q163" i="6"/>
  <c r="AA99" i="6"/>
  <c r="AB99" i="6" s="1"/>
  <c r="AC99" i="6" s="1"/>
  <c r="AD99" i="6" s="1"/>
  <c r="R99" i="6"/>
  <c r="Q99" i="6"/>
  <c r="I100" i="6"/>
  <c r="W100" i="6"/>
  <c r="I36" i="6"/>
  <c r="AA35" i="6"/>
  <c r="AB35" i="6" s="1"/>
  <c r="R35" i="6"/>
  <c r="Q35" i="6"/>
  <c r="AC163" i="6" l="1"/>
  <c r="AD163" i="6" s="1"/>
  <c r="AC35" i="6"/>
  <c r="AD35" i="6" s="1"/>
  <c r="X164" i="6"/>
  <c r="O164" i="6"/>
  <c r="J164" i="6"/>
  <c r="J100" i="6"/>
  <c r="O100" i="6"/>
  <c r="X100" i="6"/>
  <c r="AE100" i="6"/>
  <c r="J36" i="6"/>
  <c r="O36" i="6"/>
  <c r="X36" i="6"/>
  <c r="AG35" i="6"/>
  <c r="AG99" i="6"/>
  <c r="AG163" i="6"/>
  <c r="M164" i="6" l="1"/>
  <c r="P164" i="6"/>
  <c r="S164" i="6"/>
  <c r="Y164" i="6"/>
  <c r="Z164" i="6"/>
  <c r="K188" i="6"/>
  <c r="M100" i="6"/>
  <c r="P100" i="6"/>
  <c r="S100" i="6"/>
  <c r="Y100" i="6"/>
  <c r="Z100" i="6"/>
  <c r="K124" i="6"/>
  <c r="M36" i="6"/>
  <c r="P36" i="6"/>
  <c r="S36" i="6"/>
  <c r="Y36" i="6"/>
  <c r="Z36" i="6"/>
  <c r="K60" i="6"/>
  <c r="L165" i="6" l="1"/>
  <c r="AF164" i="6"/>
  <c r="N164" i="6"/>
  <c r="AF100" i="6"/>
  <c r="N100" i="6"/>
  <c r="L101" i="6"/>
  <c r="L37" i="6"/>
  <c r="AF36" i="6"/>
  <c r="N36" i="6"/>
  <c r="I165" i="6" l="1"/>
  <c r="AA164" i="6"/>
  <c r="AB164" i="6" s="1"/>
  <c r="R164" i="6"/>
  <c r="Q164" i="6"/>
  <c r="AA100" i="6"/>
  <c r="AB100" i="6" s="1"/>
  <c r="AC100" i="6" s="1"/>
  <c r="AD100" i="6" s="1"/>
  <c r="R100" i="6"/>
  <c r="Q100" i="6"/>
  <c r="I101" i="6"/>
  <c r="W101" i="6"/>
  <c r="I37" i="6"/>
  <c r="AA36" i="6"/>
  <c r="AB36" i="6" s="1"/>
  <c r="R36" i="6"/>
  <c r="Q36" i="6"/>
  <c r="AC164" i="6" l="1"/>
  <c r="AD164" i="6" s="1"/>
  <c r="AG36" i="6"/>
  <c r="O165" i="6"/>
  <c r="J165" i="6"/>
  <c r="X165" i="6"/>
  <c r="J101" i="6"/>
  <c r="O101" i="6"/>
  <c r="X101" i="6"/>
  <c r="AE101" i="6"/>
  <c r="J37" i="6"/>
  <c r="O37" i="6"/>
  <c r="X37" i="6"/>
  <c r="AG100" i="6"/>
  <c r="AG164" i="6"/>
  <c r="AC36" i="6"/>
  <c r="AD36" i="6" s="1"/>
  <c r="M165" i="6" l="1"/>
  <c r="P165" i="6"/>
  <c r="S165" i="6"/>
  <c r="Y165" i="6"/>
  <c r="Z165" i="6"/>
  <c r="K189" i="6"/>
  <c r="M101" i="6"/>
  <c r="P101" i="6"/>
  <c r="S101" i="6"/>
  <c r="Y101" i="6"/>
  <c r="Z101" i="6"/>
  <c r="K125" i="6"/>
  <c r="M37" i="6"/>
  <c r="P37" i="6"/>
  <c r="S37" i="6"/>
  <c r="Y37" i="6"/>
  <c r="Z37" i="6"/>
  <c r="K61" i="6"/>
  <c r="L166" i="6" l="1"/>
  <c r="AF165" i="6"/>
  <c r="N165" i="6"/>
  <c r="AF101" i="6"/>
  <c r="N101" i="6"/>
  <c r="L102" i="6"/>
  <c r="L38" i="6"/>
  <c r="AF37" i="6"/>
  <c r="N37" i="6"/>
  <c r="I166" i="6" l="1"/>
  <c r="AA165" i="6"/>
  <c r="AB165" i="6" s="1"/>
  <c r="R165" i="6"/>
  <c r="Q165" i="6"/>
  <c r="AA101" i="6"/>
  <c r="AB101" i="6" s="1"/>
  <c r="R101" i="6"/>
  <c r="Q101" i="6"/>
  <c r="I102" i="6"/>
  <c r="W102" i="6"/>
  <c r="I38" i="6"/>
  <c r="AA37" i="6"/>
  <c r="AB37" i="6" s="1"/>
  <c r="AC37" i="6" s="1"/>
  <c r="AD37" i="6" s="1"/>
  <c r="R37" i="6"/>
  <c r="Q37" i="6"/>
  <c r="AC101" i="6" l="1"/>
  <c r="AD101" i="6" s="1"/>
  <c r="AC165" i="6"/>
  <c r="AD165" i="6" s="1"/>
  <c r="AG101" i="6"/>
  <c r="O166" i="6"/>
  <c r="X166" i="6"/>
  <c r="J166" i="6"/>
  <c r="J102" i="6"/>
  <c r="O102" i="6"/>
  <c r="X102" i="6"/>
  <c r="AE102" i="6"/>
  <c r="J38" i="6"/>
  <c r="O38" i="6"/>
  <c r="X38" i="6"/>
  <c r="AG165" i="6"/>
  <c r="AG37" i="6"/>
  <c r="M166" i="6" l="1"/>
  <c r="Z166" i="6"/>
  <c r="K190" i="6"/>
  <c r="P166" i="6"/>
  <c r="S166" i="6"/>
  <c r="Y166" i="6"/>
  <c r="M102" i="6"/>
  <c r="P102" i="6"/>
  <c r="S102" i="6"/>
  <c r="Y102" i="6"/>
  <c r="Z102" i="6"/>
  <c r="K126" i="6"/>
  <c r="M38" i="6"/>
  <c r="P38" i="6"/>
  <c r="S38" i="6"/>
  <c r="Y38" i="6"/>
  <c r="Z38" i="6"/>
  <c r="K62" i="6"/>
  <c r="L167" i="6" l="1"/>
  <c r="AF166" i="6"/>
  <c r="N166" i="6"/>
  <c r="AF102" i="6"/>
  <c r="N102" i="6"/>
  <c r="L103" i="6"/>
  <c r="L39" i="6"/>
  <c r="AF38" i="6"/>
  <c r="N38" i="6"/>
  <c r="I167" i="6" l="1"/>
  <c r="AA166" i="6"/>
  <c r="AB166" i="6" s="1"/>
  <c r="R166" i="6"/>
  <c r="Q166" i="6"/>
  <c r="AA102" i="6"/>
  <c r="AB102" i="6" s="1"/>
  <c r="R102" i="6"/>
  <c r="Q102" i="6"/>
  <c r="I103" i="6"/>
  <c r="W103" i="6"/>
  <c r="I39" i="6"/>
  <c r="AA38" i="6"/>
  <c r="AB38" i="6" s="1"/>
  <c r="R38" i="6"/>
  <c r="Q38" i="6"/>
  <c r="AG38" i="6" l="1"/>
  <c r="AG102" i="6"/>
  <c r="AC166" i="6"/>
  <c r="AD166" i="6" s="1"/>
  <c r="O167" i="6"/>
  <c r="X167" i="6"/>
  <c r="J167" i="6"/>
  <c r="J103" i="6"/>
  <c r="O103" i="6"/>
  <c r="X103" i="6"/>
  <c r="AE103" i="6"/>
  <c r="J39" i="6"/>
  <c r="O39" i="6"/>
  <c r="X39" i="6"/>
  <c r="AC38" i="6"/>
  <c r="AD38" i="6" s="1"/>
  <c r="AG166" i="6"/>
  <c r="AC102" i="6"/>
  <c r="AD102" i="6" s="1"/>
  <c r="M167" i="6" l="1"/>
  <c r="Y167" i="6"/>
  <c r="P167" i="6"/>
  <c r="S167" i="6"/>
  <c r="Z167" i="6"/>
  <c r="K191" i="6"/>
  <c r="M103" i="6"/>
  <c r="P103" i="6"/>
  <c r="S103" i="6"/>
  <c r="Y103" i="6"/>
  <c r="Z103" i="6"/>
  <c r="K127" i="6"/>
  <c r="M39" i="6"/>
  <c r="P39" i="6"/>
  <c r="S39" i="6"/>
  <c r="Y39" i="6"/>
  <c r="Z39" i="6"/>
  <c r="K63" i="6"/>
  <c r="L168" i="6" l="1"/>
  <c r="AF167" i="6"/>
  <c r="N167" i="6"/>
  <c r="AF103" i="6"/>
  <c r="N103" i="6"/>
  <c r="L104" i="6"/>
  <c r="L40" i="6"/>
  <c r="AF39" i="6"/>
  <c r="N39" i="6"/>
  <c r="I168" i="6" l="1"/>
  <c r="AA167" i="6"/>
  <c r="AB167" i="6" s="1"/>
  <c r="R167" i="6"/>
  <c r="Q167" i="6"/>
  <c r="AA103" i="6"/>
  <c r="AB103" i="6" s="1"/>
  <c r="AC103" i="6" s="1"/>
  <c r="AD103" i="6" s="1"/>
  <c r="R103" i="6"/>
  <c r="Q103" i="6"/>
  <c r="I104" i="6"/>
  <c r="W104" i="6"/>
  <c r="I40" i="6"/>
  <c r="AA39" i="6"/>
  <c r="AB39" i="6" s="1"/>
  <c r="AC39" i="6" s="1"/>
  <c r="AD39" i="6" s="1"/>
  <c r="R39" i="6"/>
  <c r="Q39" i="6"/>
  <c r="AG167" i="6" l="1"/>
  <c r="AG39" i="6"/>
  <c r="O168" i="6"/>
  <c r="J168" i="6"/>
  <c r="X168" i="6"/>
  <c r="J104" i="6"/>
  <c r="O104" i="6"/>
  <c r="X104" i="6"/>
  <c r="AE104" i="6"/>
  <c r="J40" i="6"/>
  <c r="O40" i="6"/>
  <c r="X40" i="6"/>
  <c r="AG103" i="6"/>
  <c r="AC167" i="6"/>
  <c r="AD167" i="6" s="1"/>
  <c r="M168" i="6" l="1"/>
  <c r="P168" i="6"/>
  <c r="S168" i="6"/>
  <c r="Y168" i="6"/>
  <c r="Z168" i="6"/>
  <c r="K192" i="6"/>
  <c r="M104" i="6"/>
  <c r="P104" i="6"/>
  <c r="S104" i="6"/>
  <c r="Y104" i="6"/>
  <c r="Z104" i="6"/>
  <c r="K128" i="6"/>
  <c r="M40" i="6"/>
  <c r="P40" i="6"/>
  <c r="S40" i="6"/>
  <c r="Y40" i="6"/>
  <c r="Z40" i="6"/>
  <c r="K64" i="6"/>
  <c r="L169" i="6" l="1"/>
  <c r="AF168" i="6"/>
  <c r="N168" i="6"/>
  <c r="AF104" i="6"/>
  <c r="N104" i="6"/>
  <c r="L105" i="6"/>
  <c r="L41" i="6"/>
  <c r="AF40" i="6"/>
  <c r="N40" i="6"/>
  <c r="I169" i="6" l="1"/>
  <c r="AA168" i="6"/>
  <c r="AB168" i="6" s="1"/>
  <c r="R168" i="6"/>
  <c r="AG168" i="6" s="1"/>
  <c r="Q168" i="6"/>
  <c r="AA104" i="6"/>
  <c r="AB104" i="6" s="1"/>
  <c r="R104" i="6"/>
  <c r="Q104" i="6"/>
  <c r="I105" i="6"/>
  <c r="W105" i="6"/>
  <c r="I41" i="6"/>
  <c r="AA40" i="6"/>
  <c r="AB40" i="6" s="1"/>
  <c r="R40" i="6"/>
  <c r="Q40" i="6"/>
  <c r="AG104" i="6" l="1"/>
  <c r="AG40" i="6"/>
  <c r="X169" i="6"/>
  <c r="J169" i="6"/>
  <c r="O169" i="6"/>
  <c r="J105" i="6"/>
  <c r="O105" i="6"/>
  <c r="X105" i="6"/>
  <c r="AE105" i="6"/>
  <c r="J41" i="6"/>
  <c r="O41" i="6"/>
  <c r="X41" i="6"/>
  <c r="AC104" i="6"/>
  <c r="AD104" i="6" s="1"/>
  <c r="AC40" i="6"/>
  <c r="AD40" i="6" s="1"/>
  <c r="AC168" i="6"/>
  <c r="AD168" i="6" s="1"/>
  <c r="M169" i="6" l="1"/>
  <c r="P169" i="6"/>
  <c r="S169" i="6"/>
  <c r="Y169" i="6"/>
  <c r="Z169" i="6"/>
  <c r="K193" i="6"/>
  <c r="M105" i="6"/>
  <c r="P105" i="6"/>
  <c r="S105" i="6"/>
  <c r="Y105" i="6"/>
  <c r="Z105" i="6"/>
  <c r="K129" i="6"/>
  <c r="M41" i="6"/>
  <c r="P41" i="6"/>
  <c r="S41" i="6"/>
  <c r="Y41" i="6"/>
  <c r="Z41" i="6"/>
  <c r="K65" i="6"/>
  <c r="L170" i="6" l="1"/>
  <c r="AF169" i="6"/>
  <c r="N169" i="6"/>
  <c r="AF105" i="6"/>
  <c r="N105" i="6"/>
  <c r="L106" i="6"/>
  <c r="L42" i="6"/>
  <c r="AF41" i="6"/>
  <c r="N41" i="6"/>
  <c r="I170" i="6" l="1"/>
  <c r="AA169" i="6"/>
  <c r="AB169" i="6" s="1"/>
  <c r="R169" i="6"/>
  <c r="AG169" i="6" s="1"/>
  <c r="Q169" i="6"/>
  <c r="AA105" i="6"/>
  <c r="AB105" i="6" s="1"/>
  <c r="R105" i="6"/>
  <c r="Q105" i="6"/>
  <c r="I106" i="6"/>
  <c r="W106" i="6"/>
  <c r="I42" i="6"/>
  <c r="AA41" i="6"/>
  <c r="AB41" i="6" s="1"/>
  <c r="R41" i="6"/>
  <c r="Q41" i="6"/>
  <c r="AG41" i="6" l="1"/>
  <c r="AC105" i="6"/>
  <c r="AD105" i="6" s="1"/>
  <c r="X170" i="6"/>
  <c r="O170" i="6"/>
  <c r="J170" i="6"/>
  <c r="J106" i="6"/>
  <c r="O106" i="6"/>
  <c r="X106" i="6"/>
  <c r="AE106" i="6"/>
  <c r="J42" i="6"/>
  <c r="O42" i="6"/>
  <c r="X42" i="6"/>
  <c r="AG105" i="6"/>
  <c r="AC41" i="6"/>
  <c r="AD41" i="6" s="1"/>
  <c r="AC169" i="6"/>
  <c r="AD169" i="6" s="1"/>
  <c r="M170" i="6" l="1"/>
  <c r="P170" i="6"/>
  <c r="S170" i="6"/>
  <c r="Y170" i="6"/>
  <c r="Z170" i="6"/>
  <c r="K194" i="6"/>
  <c r="M106" i="6"/>
  <c r="P106" i="6"/>
  <c r="S106" i="6"/>
  <c r="Y106" i="6"/>
  <c r="Z106" i="6"/>
  <c r="K130" i="6"/>
  <c r="M42" i="6"/>
  <c r="P42" i="6"/>
  <c r="S42" i="6"/>
  <c r="Y42" i="6"/>
  <c r="Z42" i="6"/>
  <c r="K66" i="6"/>
  <c r="L171" i="6" l="1"/>
  <c r="AF170" i="6"/>
  <c r="N170" i="6"/>
  <c r="AF106" i="6"/>
  <c r="N106" i="6"/>
  <c r="L107" i="6"/>
  <c r="L43" i="6"/>
  <c r="AF42" i="6"/>
  <c r="N42" i="6"/>
  <c r="I171" i="6" l="1"/>
  <c r="AA170" i="6"/>
  <c r="AB170" i="6" s="1"/>
  <c r="R170" i="6"/>
  <c r="Q170" i="6"/>
  <c r="AA106" i="6"/>
  <c r="AB106" i="6" s="1"/>
  <c r="AC106" i="6" s="1"/>
  <c r="AD106" i="6" s="1"/>
  <c r="R106" i="6"/>
  <c r="Q106" i="6"/>
  <c r="W107" i="6"/>
  <c r="I107" i="6"/>
  <c r="I43" i="6"/>
  <c r="AA42" i="6"/>
  <c r="AB42" i="6" s="1"/>
  <c r="R42" i="6"/>
  <c r="Q42" i="6"/>
  <c r="AG170" i="6" l="1"/>
  <c r="AG42" i="6"/>
  <c r="X171" i="6"/>
  <c r="O171" i="6"/>
  <c r="J171" i="6"/>
  <c r="AE107" i="6"/>
  <c r="O107" i="6"/>
  <c r="J107" i="6"/>
  <c r="X107" i="6"/>
  <c r="J43" i="6"/>
  <c r="O43" i="6"/>
  <c r="X43" i="6"/>
  <c r="AC42" i="6"/>
  <c r="AD42" i="6" s="1"/>
  <c r="AC170" i="6"/>
  <c r="AD170" i="6" s="1"/>
  <c r="AG106" i="6"/>
  <c r="M171" i="6" l="1"/>
  <c r="P171" i="6"/>
  <c r="S171" i="6"/>
  <c r="Y171" i="6"/>
  <c r="Z171" i="6"/>
  <c r="K195" i="6"/>
  <c r="M107" i="6"/>
  <c r="K131" i="6"/>
  <c r="P107" i="6"/>
  <c r="S107" i="6"/>
  <c r="Y107" i="6"/>
  <c r="Z107" i="6"/>
  <c r="M43" i="6"/>
  <c r="P43" i="6"/>
  <c r="S43" i="6"/>
  <c r="Y43" i="6"/>
  <c r="Z43" i="6"/>
  <c r="K67" i="6"/>
  <c r="L172" i="6" l="1"/>
  <c r="AF171" i="6"/>
  <c r="N171" i="6"/>
  <c r="AF107" i="6"/>
  <c r="N107" i="6"/>
  <c r="L108" i="6"/>
  <c r="L44" i="6"/>
  <c r="AF43" i="6"/>
  <c r="N43" i="6"/>
  <c r="I172" i="6" l="1"/>
  <c r="AA171" i="6"/>
  <c r="AB171" i="6" s="1"/>
  <c r="AC171" i="6" s="1"/>
  <c r="AD171" i="6" s="1"/>
  <c r="R171" i="6"/>
  <c r="Q171" i="6"/>
  <c r="AA107" i="6"/>
  <c r="AB107" i="6" s="1"/>
  <c r="R107" i="6"/>
  <c r="Q107" i="6"/>
  <c r="I108" i="6"/>
  <c r="W108" i="6"/>
  <c r="I44" i="6"/>
  <c r="AA43" i="6"/>
  <c r="AB43" i="6" s="1"/>
  <c r="R43" i="6"/>
  <c r="Q43" i="6"/>
  <c r="AG171" i="6" l="1"/>
  <c r="AC107" i="6"/>
  <c r="AD107" i="6" s="1"/>
  <c r="AG43" i="6"/>
  <c r="X172" i="6"/>
  <c r="O172" i="6"/>
  <c r="J172" i="6"/>
  <c r="O108" i="6"/>
  <c r="X108" i="6"/>
  <c r="J108" i="6"/>
  <c r="AE108" i="6"/>
  <c r="J44" i="6"/>
  <c r="O44" i="6"/>
  <c r="X44" i="6"/>
  <c r="AC43" i="6"/>
  <c r="AD43" i="6" s="1"/>
  <c r="AG107" i="6"/>
  <c r="M172" i="6" l="1"/>
  <c r="E35" i="3"/>
  <c r="P35" i="3"/>
  <c r="Q35" i="3" s="1"/>
  <c r="P172" i="6"/>
  <c r="S172" i="6"/>
  <c r="Y172" i="6"/>
  <c r="Z172" i="6"/>
  <c r="L35" i="3" s="1"/>
  <c r="K196" i="6"/>
  <c r="M108" i="6"/>
  <c r="E34" i="3"/>
  <c r="P34" i="3"/>
  <c r="Q34" i="3" s="1"/>
  <c r="Y108" i="6"/>
  <c r="Z108" i="6"/>
  <c r="L34" i="3" s="1"/>
  <c r="K132" i="6"/>
  <c r="P108" i="6"/>
  <c r="S108" i="6"/>
  <c r="M44" i="6"/>
  <c r="E33" i="3"/>
  <c r="P33" i="3"/>
  <c r="Q33" i="3" s="1"/>
  <c r="P44" i="6"/>
  <c r="S44" i="6"/>
  <c r="Y44" i="6"/>
  <c r="Z44" i="6"/>
  <c r="L33" i="3" s="1"/>
  <c r="K68" i="6"/>
  <c r="F35" i="3" l="1"/>
  <c r="L173" i="6"/>
  <c r="AF172" i="6"/>
  <c r="N172" i="6"/>
  <c r="AF108" i="6"/>
  <c r="F34" i="3"/>
  <c r="L109" i="6"/>
  <c r="N108" i="6"/>
  <c r="F33" i="3"/>
  <c r="L45" i="6"/>
  <c r="AF44" i="6"/>
  <c r="N44" i="6"/>
  <c r="I173" i="6" l="1"/>
  <c r="AA172" i="6"/>
  <c r="AB172" i="6" s="1"/>
  <c r="AC172" i="6" s="1"/>
  <c r="AD172" i="6" s="1"/>
  <c r="R172" i="6"/>
  <c r="Q172" i="6"/>
  <c r="W109" i="6"/>
  <c r="I109" i="6"/>
  <c r="AA108" i="6"/>
  <c r="AB108" i="6" s="1"/>
  <c r="R108" i="6"/>
  <c r="Q108" i="6"/>
  <c r="I45" i="6"/>
  <c r="AA44" i="6"/>
  <c r="AB44" i="6" s="1"/>
  <c r="R44" i="6"/>
  <c r="AG44" i="6" s="1"/>
  <c r="Q44" i="6"/>
  <c r="AG108" i="6" l="1"/>
  <c r="X173" i="6"/>
  <c r="O173" i="6"/>
  <c r="J173" i="6"/>
  <c r="AE109" i="6"/>
  <c r="O109" i="6"/>
  <c r="J109" i="6"/>
  <c r="X109" i="6"/>
  <c r="J45" i="6"/>
  <c r="O45" i="6"/>
  <c r="X45" i="6"/>
  <c r="AC108" i="6"/>
  <c r="AD108" i="6" s="1"/>
  <c r="AC44" i="6"/>
  <c r="AD44" i="6" s="1"/>
  <c r="AG172" i="6"/>
  <c r="M35" i="3"/>
  <c r="M173" i="6" l="1"/>
  <c r="P173" i="6"/>
  <c r="S173" i="6"/>
  <c r="Y173" i="6"/>
  <c r="Z173" i="6"/>
  <c r="M109" i="6"/>
  <c r="Z109" i="6"/>
  <c r="P109" i="6"/>
  <c r="S109" i="6"/>
  <c r="Y109" i="6"/>
  <c r="M45" i="6"/>
  <c r="P45" i="6"/>
  <c r="S45" i="6"/>
  <c r="Y45" i="6"/>
  <c r="Z45" i="6"/>
  <c r="M34" i="3"/>
  <c r="M33" i="3"/>
  <c r="L174" i="6" l="1"/>
  <c r="AF173" i="6"/>
  <c r="N173" i="6"/>
  <c r="AF109" i="6"/>
  <c r="N109" i="6"/>
  <c r="L110" i="6"/>
  <c r="L46" i="6"/>
  <c r="AF45" i="6"/>
  <c r="N45" i="6"/>
  <c r="I174" i="6" l="1"/>
  <c r="AA173" i="6"/>
  <c r="AB173" i="6" s="1"/>
  <c r="R173" i="6"/>
  <c r="Q173" i="6"/>
  <c r="AA109" i="6"/>
  <c r="AB109" i="6" s="1"/>
  <c r="R109" i="6"/>
  <c r="Q109" i="6"/>
  <c r="W110" i="6"/>
  <c r="I110" i="6"/>
  <c r="I46" i="6"/>
  <c r="AA45" i="6"/>
  <c r="AB45" i="6" s="1"/>
  <c r="R45" i="6"/>
  <c r="Q45" i="6"/>
  <c r="AC173" i="6" l="1"/>
  <c r="AD173" i="6" s="1"/>
  <c r="AC109" i="6"/>
  <c r="AD109" i="6" s="1"/>
  <c r="AC45" i="6"/>
  <c r="AD45" i="6" s="1"/>
  <c r="AG45" i="6"/>
  <c r="X174" i="6"/>
  <c r="O174" i="6"/>
  <c r="J174" i="6"/>
  <c r="AE110" i="6"/>
  <c r="O110" i="6"/>
  <c r="J110" i="6"/>
  <c r="X110" i="6"/>
  <c r="J46" i="6"/>
  <c r="O46" i="6"/>
  <c r="X46" i="6"/>
  <c r="AG173" i="6"/>
  <c r="AG109" i="6"/>
  <c r="M174" i="6" l="1"/>
  <c r="P174" i="6"/>
  <c r="S174" i="6"/>
  <c r="Y174" i="6"/>
  <c r="Z174" i="6"/>
  <c r="M110" i="6"/>
  <c r="Y110" i="6"/>
  <c r="Z110" i="6"/>
  <c r="P110" i="6"/>
  <c r="S110" i="6"/>
  <c r="M46" i="6"/>
  <c r="P46" i="6"/>
  <c r="S46" i="6"/>
  <c r="Y46" i="6"/>
  <c r="Z46" i="6"/>
  <c r="L175" i="6" l="1"/>
  <c r="AF174" i="6"/>
  <c r="N174" i="6"/>
  <c r="AF110" i="6"/>
  <c r="N110" i="6"/>
  <c r="L111" i="6"/>
  <c r="L47" i="6"/>
  <c r="AF46" i="6"/>
  <c r="N46" i="6"/>
  <c r="I175" i="6" l="1"/>
  <c r="AA174" i="6"/>
  <c r="AB174" i="6" s="1"/>
  <c r="AC174" i="6" s="1"/>
  <c r="AD174" i="6" s="1"/>
  <c r="R174" i="6"/>
  <c r="Q174" i="6"/>
  <c r="R110" i="6"/>
  <c r="Q110" i="6"/>
  <c r="AA110" i="6"/>
  <c r="AB110" i="6" s="1"/>
  <c r="AC110" i="6" s="1"/>
  <c r="AD110" i="6" s="1"/>
  <c r="I111" i="6"/>
  <c r="W111" i="6"/>
  <c r="I47" i="6"/>
  <c r="AA46" i="6"/>
  <c r="AB46" i="6" s="1"/>
  <c r="AC46" i="6" s="1"/>
  <c r="AD46" i="6" s="1"/>
  <c r="R46" i="6"/>
  <c r="Q46" i="6"/>
  <c r="AG46" i="6" l="1"/>
  <c r="X175" i="6"/>
  <c r="O175" i="6"/>
  <c r="J175" i="6"/>
  <c r="J111" i="6"/>
  <c r="O111" i="6"/>
  <c r="X111" i="6"/>
  <c r="AE111" i="6"/>
  <c r="J47" i="6"/>
  <c r="O47" i="6"/>
  <c r="X47" i="6"/>
  <c r="AG110" i="6"/>
  <c r="AG174" i="6"/>
  <c r="M175" i="6" l="1"/>
  <c r="P175" i="6"/>
  <c r="S175" i="6"/>
  <c r="Y175" i="6"/>
  <c r="Z175" i="6"/>
  <c r="M111" i="6"/>
  <c r="P111" i="6"/>
  <c r="S111" i="6"/>
  <c r="Y111" i="6"/>
  <c r="Z111" i="6"/>
  <c r="M47" i="6"/>
  <c r="P47" i="6"/>
  <c r="S47" i="6"/>
  <c r="Y47" i="6"/>
  <c r="Z47" i="6"/>
  <c r="L176" i="6" l="1"/>
  <c r="AF175" i="6"/>
  <c r="N175" i="6"/>
  <c r="AF111" i="6"/>
  <c r="N111" i="6"/>
  <c r="L112" i="6"/>
  <c r="L48" i="6"/>
  <c r="AF47" i="6"/>
  <c r="N47" i="6"/>
  <c r="I176" i="6" l="1"/>
  <c r="AA175" i="6"/>
  <c r="AB175" i="6" s="1"/>
  <c r="R175" i="6"/>
  <c r="Q175" i="6"/>
  <c r="AA111" i="6"/>
  <c r="AB111" i="6" s="1"/>
  <c r="R111" i="6"/>
  <c r="AG111" i="6" s="1"/>
  <c r="Q111" i="6"/>
  <c r="I112" i="6"/>
  <c r="W112" i="6"/>
  <c r="I48" i="6"/>
  <c r="AA47" i="6"/>
  <c r="AB47" i="6" s="1"/>
  <c r="R47" i="6"/>
  <c r="Q47" i="6"/>
  <c r="AG47" i="6" l="1"/>
  <c r="AC175" i="6"/>
  <c r="AD175" i="6" s="1"/>
  <c r="X176" i="6"/>
  <c r="O176" i="6"/>
  <c r="J176" i="6"/>
  <c r="J112" i="6"/>
  <c r="O112" i="6"/>
  <c r="X112" i="6"/>
  <c r="AE112" i="6"/>
  <c r="J48" i="6"/>
  <c r="O48" i="6"/>
  <c r="X48" i="6"/>
  <c r="AG175" i="6"/>
  <c r="AC111" i="6"/>
  <c r="AD111" i="6" s="1"/>
  <c r="AC47" i="6"/>
  <c r="AD47" i="6" s="1"/>
  <c r="M176" i="6" l="1"/>
  <c r="P176" i="6"/>
  <c r="S176" i="6"/>
  <c r="Y176" i="6"/>
  <c r="Z176" i="6"/>
  <c r="M112" i="6"/>
  <c r="P112" i="6"/>
  <c r="S112" i="6"/>
  <c r="Y112" i="6"/>
  <c r="Z112" i="6"/>
  <c r="M48" i="6"/>
  <c r="P48" i="6"/>
  <c r="S48" i="6"/>
  <c r="Y48" i="6"/>
  <c r="Z48" i="6"/>
  <c r="L177" i="6" l="1"/>
  <c r="AF176" i="6"/>
  <c r="N176" i="6"/>
  <c r="AF112" i="6"/>
  <c r="N112" i="6"/>
  <c r="L113" i="6"/>
  <c r="L49" i="6"/>
  <c r="AF48" i="6"/>
  <c r="N48" i="6"/>
  <c r="I177" i="6" l="1"/>
  <c r="AA176" i="6"/>
  <c r="AB176" i="6" s="1"/>
  <c r="AC176" i="6" s="1"/>
  <c r="AD176" i="6" s="1"/>
  <c r="R176" i="6"/>
  <c r="Q176" i="6"/>
  <c r="AA112" i="6"/>
  <c r="AB112" i="6" s="1"/>
  <c r="R112" i="6"/>
  <c r="Q112" i="6"/>
  <c r="I113" i="6"/>
  <c r="W113" i="6"/>
  <c r="I49" i="6"/>
  <c r="AA48" i="6"/>
  <c r="AB48" i="6" s="1"/>
  <c r="R48" i="6"/>
  <c r="Q48" i="6"/>
  <c r="AC112" i="6" l="1"/>
  <c r="AD112" i="6" s="1"/>
  <c r="AG48" i="6"/>
  <c r="X177" i="6"/>
  <c r="O177" i="6"/>
  <c r="J177" i="6"/>
  <c r="J113" i="6"/>
  <c r="O113" i="6"/>
  <c r="X113" i="6"/>
  <c r="AE113" i="6"/>
  <c r="J49" i="6"/>
  <c r="O49" i="6"/>
  <c r="X49" i="6"/>
  <c r="AG176" i="6"/>
  <c r="AG112" i="6"/>
  <c r="AC48" i="6"/>
  <c r="AD48" i="6" s="1"/>
  <c r="M177" i="6" l="1"/>
  <c r="P177" i="6"/>
  <c r="S177" i="6"/>
  <c r="Y177" i="6"/>
  <c r="Z177" i="6"/>
  <c r="M113" i="6"/>
  <c r="P113" i="6"/>
  <c r="S113" i="6"/>
  <c r="Y113" i="6"/>
  <c r="Z113" i="6"/>
  <c r="M49" i="6"/>
  <c r="P49" i="6"/>
  <c r="S49" i="6"/>
  <c r="Y49" i="6"/>
  <c r="Z49" i="6"/>
  <c r="L178" i="6" l="1"/>
  <c r="AF177" i="6"/>
  <c r="N177" i="6"/>
  <c r="AF113" i="6"/>
  <c r="N113" i="6"/>
  <c r="L114" i="6"/>
  <c r="L50" i="6"/>
  <c r="AF49" i="6"/>
  <c r="N49" i="6"/>
  <c r="I178" i="6" l="1"/>
  <c r="AA177" i="6"/>
  <c r="AB177" i="6" s="1"/>
  <c r="R177" i="6"/>
  <c r="Q177" i="6"/>
  <c r="AA113" i="6"/>
  <c r="AB113" i="6" s="1"/>
  <c r="AC113" i="6" s="1"/>
  <c r="AD113" i="6" s="1"/>
  <c r="R113" i="6"/>
  <c r="Q113" i="6"/>
  <c r="I114" i="6"/>
  <c r="W114" i="6"/>
  <c r="I50" i="6"/>
  <c r="AA49" i="6"/>
  <c r="AB49" i="6" s="1"/>
  <c r="AC49" i="6" s="1"/>
  <c r="AD49" i="6" s="1"/>
  <c r="R49" i="6"/>
  <c r="Q49" i="6"/>
  <c r="AG177" i="6" l="1"/>
  <c r="X178" i="6"/>
  <c r="O178" i="6"/>
  <c r="J178" i="6"/>
  <c r="J114" i="6"/>
  <c r="O114" i="6"/>
  <c r="X114" i="6"/>
  <c r="AE114" i="6"/>
  <c r="J50" i="6"/>
  <c r="O50" i="6"/>
  <c r="X50" i="6"/>
  <c r="AC177" i="6"/>
  <c r="AD177" i="6" s="1"/>
  <c r="AG49" i="6"/>
  <c r="AG113" i="6"/>
  <c r="M178" i="6" l="1"/>
  <c r="P178" i="6"/>
  <c r="S178" i="6"/>
  <c r="Y178" i="6"/>
  <c r="Z178" i="6"/>
  <c r="M114" i="6"/>
  <c r="P114" i="6"/>
  <c r="S114" i="6"/>
  <c r="Y114" i="6"/>
  <c r="Z114" i="6"/>
  <c r="M50" i="6"/>
  <c r="P50" i="6"/>
  <c r="S50" i="6"/>
  <c r="Y50" i="6"/>
  <c r="Z50" i="6"/>
  <c r="L179" i="6" l="1"/>
  <c r="AF178" i="6"/>
  <c r="N178" i="6"/>
  <c r="AF114" i="6"/>
  <c r="N114" i="6"/>
  <c r="L115" i="6"/>
  <c r="L51" i="6"/>
  <c r="AF50" i="6"/>
  <c r="N50" i="6"/>
  <c r="I179" i="6" l="1"/>
  <c r="AA178" i="6"/>
  <c r="AB178" i="6" s="1"/>
  <c r="AC178" i="6" s="1"/>
  <c r="AD178" i="6" s="1"/>
  <c r="R178" i="6"/>
  <c r="Q178" i="6"/>
  <c r="AA114" i="6"/>
  <c r="AB114" i="6" s="1"/>
  <c r="AC114" i="6" s="1"/>
  <c r="AD114" i="6" s="1"/>
  <c r="R114" i="6"/>
  <c r="Q114" i="6"/>
  <c r="I115" i="6"/>
  <c r="W115" i="6"/>
  <c r="I51" i="6"/>
  <c r="AA50" i="6"/>
  <c r="AB50" i="6" s="1"/>
  <c r="R50" i="6"/>
  <c r="Q50" i="6"/>
  <c r="AC50" i="6" l="1"/>
  <c r="AD50" i="6" s="1"/>
  <c r="X179" i="6"/>
  <c r="O179" i="6"/>
  <c r="J179" i="6"/>
  <c r="J115" i="6"/>
  <c r="O115" i="6"/>
  <c r="X115" i="6"/>
  <c r="AE115" i="6"/>
  <c r="J51" i="6"/>
  <c r="O51" i="6"/>
  <c r="X51" i="6"/>
  <c r="AG178" i="6"/>
  <c r="AG114" i="6"/>
  <c r="AG50" i="6"/>
  <c r="M179" i="6" l="1"/>
  <c r="P179" i="6"/>
  <c r="S179" i="6"/>
  <c r="Y179" i="6"/>
  <c r="Z179" i="6"/>
  <c r="M115" i="6"/>
  <c r="P115" i="6"/>
  <c r="S115" i="6"/>
  <c r="Y115" i="6"/>
  <c r="Z115" i="6"/>
  <c r="M51" i="6"/>
  <c r="P51" i="6"/>
  <c r="S51" i="6"/>
  <c r="Y51" i="6"/>
  <c r="Z51" i="6"/>
  <c r="L180" i="6" l="1"/>
  <c r="AF179" i="6"/>
  <c r="N179" i="6"/>
  <c r="AF115" i="6"/>
  <c r="N115" i="6"/>
  <c r="L116" i="6"/>
  <c r="L52" i="6"/>
  <c r="AF51" i="6"/>
  <c r="N51" i="6"/>
  <c r="I180" i="6" l="1"/>
  <c r="AA179" i="6"/>
  <c r="AB179" i="6" s="1"/>
  <c r="R179" i="6"/>
  <c r="Q179" i="6"/>
  <c r="AA115" i="6"/>
  <c r="AB115" i="6" s="1"/>
  <c r="R115" i="6"/>
  <c r="Q115" i="6"/>
  <c r="I116" i="6"/>
  <c r="W116" i="6"/>
  <c r="I52" i="6"/>
  <c r="AA51" i="6"/>
  <c r="AB51" i="6" s="1"/>
  <c r="AC51" i="6" s="1"/>
  <c r="AD51" i="6" s="1"/>
  <c r="R51" i="6"/>
  <c r="Q51" i="6"/>
  <c r="AG179" i="6" l="1"/>
  <c r="AC115" i="6"/>
  <c r="AD115" i="6" s="1"/>
  <c r="X180" i="6"/>
  <c r="O180" i="6"/>
  <c r="J180" i="6"/>
  <c r="J116" i="6"/>
  <c r="O116" i="6"/>
  <c r="X116" i="6"/>
  <c r="AE116" i="6"/>
  <c r="X52" i="6"/>
  <c r="J52" i="6"/>
  <c r="O52" i="6"/>
  <c r="AG115" i="6"/>
  <c r="AG51" i="6"/>
  <c r="AC179" i="6"/>
  <c r="AD179" i="6" s="1"/>
  <c r="M180" i="6" l="1"/>
  <c r="P180" i="6"/>
  <c r="S180" i="6"/>
  <c r="Y180" i="6"/>
  <c r="Z180" i="6"/>
  <c r="M116" i="6"/>
  <c r="P116" i="6"/>
  <c r="S116" i="6"/>
  <c r="Y116" i="6"/>
  <c r="Z116" i="6"/>
  <c r="M52" i="6"/>
  <c r="P52" i="6"/>
  <c r="S52" i="6"/>
  <c r="Y52" i="6"/>
  <c r="Z52" i="6"/>
  <c r="L181" i="6" l="1"/>
  <c r="AF180" i="6"/>
  <c r="N180" i="6"/>
  <c r="AF116" i="6"/>
  <c r="N116" i="6"/>
  <c r="L117" i="6"/>
  <c r="L53" i="6"/>
  <c r="AF52" i="6"/>
  <c r="N52" i="6"/>
  <c r="I181" i="6" l="1"/>
  <c r="AA180" i="6"/>
  <c r="AB180" i="6" s="1"/>
  <c r="AC180" i="6" s="1"/>
  <c r="AD180" i="6" s="1"/>
  <c r="R180" i="6"/>
  <c r="Q180" i="6"/>
  <c r="AA116" i="6"/>
  <c r="AB116" i="6" s="1"/>
  <c r="R116" i="6"/>
  <c r="Q116" i="6"/>
  <c r="I117" i="6"/>
  <c r="W117" i="6"/>
  <c r="I53" i="6"/>
  <c r="AA52" i="6"/>
  <c r="AB52" i="6" s="1"/>
  <c r="AC52" i="6" s="1"/>
  <c r="AD52" i="6" s="1"/>
  <c r="R52" i="6"/>
  <c r="Q52" i="6"/>
  <c r="AC116" i="6" l="1"/>
  <c r="AD116" i="6" s="1"/>
  <c r="X181" i="6"/>
  <c r="O181" i="6"/>
  <c r="J181" i="6"/>
  <c r="J117" i="6"/>
  <c r="O117" i="6"/>
  <c r="X117" i="6"/>
  <c r="AE117" i="6"/>
  <c r="J53" i="6"/>
  <c r="O53" i="6"/>
  <c r="X53" i="6"/>
  <c r="AG116" i="6"/>
  <c r="AG180" i="6"/>
  <c r="AG52" i="6"/>
  <c r="M181" i="6" l="1"/>
  <c r="P181" i="6"/>
  <c r="S181" i="6"/>
  <c r="Y181" i="6"/>
  <c r="Z181" i="6"/>
  <c r="M117" i="6"/>
  <c r="P117" i="6"/>
  <c r="S117" i="6"/>
  <c r="Y117" i="6"/>
  <c r="Z117" i="6"/>
  <c r="M53" i="6"/>
  <c r="P53" i="6"/>
  <c r="S53" i="6"/>
  <c r="Z53" i="6"/>
  <c r="Y53" i="6"/>
  <c r="L182" i="6" l="1"/>
  <c r="AF181" i="6"/>
  <c r="N181" i="6"/>
  <c r="AF117" i="6"/>
  <c r="N117" i="6"/>
  <c r="L118" i="6"/>
  <c r="L54" i="6"/>
  <c r="AF53" i="6"/>
  <c r="N53" i="6"/>
  <c r="I182" i="6" l="1"/>
  <c r="AA181" i="6"/>
  <c r="AB181" i="6" s="1"/>
  <c r="AC181" i="6" s="1"/>
  <c r="AD181" i="6" s="1"/>
  <c r="R181" i="6"/>
  <c r="Q181" i="6"/>
  <c r="AA117" i="6"/>
  <c r="AB117" i="6" s="1"/>
  <c r="R117" i="6"/>
  <c r="AG117" i="6" s="1"/>
  <c r="Q117" i="6"/>
  <c r="I118" i="6"/>
  <c r="W118" i="6"/>
  <c r="I54" i="6"/>
  <c r="AA53" i="6"/>
  <c r="AB53" i="6" s="1"/>
  <c r="AC53" i="6" s="1"/>
  <c r="AD53" i="6" s="1"/>
  <c r="R53" i="6"/>
  <c r="Q53" i="6"/>
  <c r="X182" i="6" l="1"/>
  <c r="O182" i="6"/>
  <c r="J182" i="6"/>
  <c r="J118" i="6"/>
  <c r="O118" i="6"/>
  <c r="X118" i="6"/>
  <c r="AE118" i="6"/>
  <c r="J54" i="6"/>
  <c r="O54" i="6"/>
  <c r="X54" i="6"/>
  <c r="AG181" i="6"/>
  <c r="AC117" i="6"/>
  <c r="AD117" i="6" s="1"/>
  <c r="AG53" i="6"/>
  <c r="M182" i="6" l="1"/>
  <c r="P182" i="6"/>
  <c r="S182" i="6"/>
  <c r="Y182" i="6"/>
  <c r="Z182" i="6"/>
  <c r="M118" i="6"/>
  <c r="P118" i="6"/>
  <c r="S118" i="6"/>
  <c r="Y118" i="6"/>
  <c r="Z118" i="6"/>
  <c r="M54" i="6"/>
  <c r="P54" i="6"/>
  <c r="S54" i="6"/>
  <c r="Y54" i="6"/>
  <c r="Z54" i="6"/>
  <c r="L183" i="6" l="1"/>
  <c r="AF182" i="6"/>
  <c r="N182" i="6"/>
  <c r="AF118" i="6"/>
  <c r="N118" i="6"/>
  <c r="L119" i="6"/>
  <c r="L55" i="6"/>
  <c r="AF54" i="6"/>
  <c r="N54" i="6"/>
  <c r="I183" i="6" l="1"/>
  <c r="AA182" i="6"/>
  <c r="AB182" i="6" s="1"/>
  <c r="R182" i="6"/>
  <c r="Q182" i="6"/>
  <c r="AA118" i="6"/>
  <c r="AB118" i="6" s="1"/>
  <c r="R118" i="6"/>
  <c r="Q118" i="6"/>
  <c r="I119" i="6"/>
  <c r="W119" i="6"/>
  <c r="I55" i="6"/>
  <c r="AA54" i="6"/>
  <c r="AB54" i="6" s="1"/>
  <c r="AC54" i="6" s="1"/>
  <c r="AD54" i="6" s="1"/>
  <c r="R54" i="6"/>
  <c r="Q54" i="6"/>
  <c r="AC118" i="6" l="1"/>
  <c r="AD118" i="6" s="1"/>
  <c r="AG182" i="6"/>
  <c r="X183" i="6"/>
  <c r="O183" i="6"/>
  <c r="J183" i="6"/>
  <c r="J119" i="6"/>
  <c r="O119" i="6"/>
  <c r="X119" i="6"/>
  <c r="AE119" i="6"/>
  <c r="J55" i="6"/>
  <c r="O55" i="6"/>
  <c r="X55" i="6"/>
  <c r="AG118" i="6"/>
  <c r="AG54" i="6"/>
  <c r="AC182" i="6"/>
  <c r="AD182" i="6" s="1"/>
  <c r="M183" i="6" l="1"/>
  <c r="P183" i="6"/>
  <c r="S183" i="6"/>
  <c r="Y183" i="6"/>
  <c r="Z183" i="6"/>
  <c r="M119" i="6"/>
  <c r="P119" i="6"/>
  <c r="S119" i="6"/>
  <c r="Y119" i="6"/>
  <c r="Z119" i="6"/>
  <c r="M55" i="6"/>
  <c r="P55" i="6"/>
  <c r="S55" i="6"/>
  <c r="Y55" i="6"/>
  <c r="Z55" i="6"/>
  <c r="L184" i="6" l="1"/>
  <c r="AF183" i="6"/>
  <c r="N183" i="6"/>
  <c r="AF119" i="6"/>
  <c r="N119" i="6"/>
  <c r="L120" i="6"/>
  <c r="L56" i="6"/>
  <c r="AF55" i="6"/>
  <c r="N55" i="6"/>
  <c r="I184" i="6" l="1"/>
  <c r="AA183" i="6"/>
  <c r="AB183" i="6" s="1"/>
  <c r="R183" i="6"/>
  <c r="AG183" i="6" s="1"/>
  <c r="Q183" i="6"/>
  <c r="AA119" i="6"/>
  <c r="AB119" i="6" s="1"/>
  <c r="AC119" i="6" s="1"/>
  <c r="AD119" i="6" s="1"/>
  <c r="R119" i="6"/>
  <c r="Q119" i="6"/>
  <c r="I120" i="6"/>
  <c r="W120" i="6"/>
  <c r="I56" i="6"/>
  <c r="AA55" i="6"/>
  <c r="AB55" i="6" s="1"/>
  <c r="AC55" i="6" s="1"/>
  <c r="AD55" i="6" s="1"/>
  <c r="R55" i="6"/>
  <c r="Q55" i="6"/>
  <c r="X184" i="6" l="1"/>
  <c r="O184" i="6"/>
  <c r="J184" i="6"/>
  <c r="J120" i="6"/>
  <c r="O120" i="6"/>
  <c r="X120" i="6"/>
  <c r="AE120" i="6"/>
  <c r="J56" i="6"/>
  <c r="O56" i="6"/>
  <c r="X56" i="6"/>
  <c r="AC183" i="6"/>
  <c r="AD183" i="6" s="1"/>
  <c r="AG119" i="6"/>
  <c r="AG55" i="6"/>
  <c r="M184" i="6" l="1"/>
  <c r="P184" i="6"/>
  <c r="S184" i="6"/>
  <c r="Y184" i="6"/>
  <c r="Z184" i="6"/>
  <c r="M120" i="6"/>
  <c r="P120" i="6"/>
  <c r="S120" i="6"/>
  <c r="Y120" i="6"/>
  <c r="Z120" i="6"/>
  <c r="M56" i="6"/>
  <c r="P56" i="6"/>
  <c r="S56" i="6"/>
  <c r="Y56" i="6"/>
  <c r="Z56" i="6"/>
  <c r="L185" i="6" l="1"/>
  <c r="AF184" i="6"/>
  <c r="N184" i="6"/>
  <c r="AF120" i="6"/>
  <c r="N120" i="6"/>
  <c r="L121" i="6"/>
  <c r="L57" i="6"/>
  <c r="AF56" i="6"/>
  <c r="N56" i="6"/>
  <c r="I185" i="6" l="1"/>
  <c r="AA184" i="6"/>
  <c r="AB184" i="6" s="1"/>
  <c r="R184" i="6"/>
  <c r="AG184" i="6" s="1"/>
  <c r="Q184" i="6"/>
  <c r="AA120" i="6"/>
  <c r="AB120" i="6" s="1"/>
  <c r="R120" i="6"/>
  <c r="Q120" i="6"/>
  <c r="I121" i="6"/>
  <c r="W121" i="6"/>
  <c r="I57" i="6"/>
  <c r="AA56" i="6"/>
  <c r="AB56" i="6" s="1"/>
  <c r="R56" i="6"/>
  <c r="Q56" i="6"/>
  <c r="AC56" i="6" l="1"/>
  <c r="AD56" i="6" s="1"/>
  <c r="AG120" i="6"/>
  <c r="X185" i="6"/>
  <c r="O185" i="6"/>
  <c r="J185" i="6"/>
  <c r="J121" i="6"/>
  <c r="O121" i="6"/>
  <c r="X121" i="6"/>
  <c r="AE121" i="6"/>
  <c r="J57" i="6"/>
  <c r="O57" i="6"/>
  <c r="X57" i="6"/>
  <c r="AG56" i="6"/>
  <c r="AC184" i="6"/>
  <c r="AD184" i="6" s="1"/>
  <c r="AC120" i="6"/>
  <c r="AD120" i="6" s="1"/>
  <c r="M185" i="6" l="1"/>
  <c r="P185" i="6"/>
  <c r="S185" i="6"/>
  <c r="Y185" i="6"/>
  <c r="Z185" i="6"/>
  <c r="M121" i="6"/>
  <c r="P121" i="6"/>
  <c r="S121" i="6"/>
  <c r="Y121" i="6"/>
  <c r="Z121" i="6"/>
  <c r="M57" i="6"/>
  <c r="P57" i="6"/>
  <c r="S57" i="6"/>
  <c r="Y57" i="6"/>
  <c r="Z57" i="6"/>
  <c r="L186" i="6" l="1"/>
  <c r="AF185" i="6"/>
  <c r="N185" i="6"/>
  <c r="AF121" i="6"/>
  <c r="N121" i="6"/>
  <c r="L122" i="6"/>
  <c r="L58" i="6"/>
  <c r="AF57" i="6"/>
  <c r="N57" i="6"/>
  <c r="I186" i="6" l="1"/>
  <c r="AA185" i="6"/>
  <c r="AB185" i="6" s="1"/>
  <c r="R185" i="6"/>
  <c r="Q185" i="6"/>
  <c r="AA121" i="6"/>
  <c r="AB121" i="6" s="1"/>
  <c r="AC121" i="6" s="1"/>
  <c r="AD121" i="6" s="1"/>
  <c r="R121" i="6"/>
  <c r="Q121" i="6"/>
  <c r="I122" i="6"/>
  <c r="W122" i="6"/>
  <c r="I58" i="6"/>
  <c r="AA57" i="6"/>
  <c r="AB57" i="6" s="1"/>
  <c r="R57" i="6"/>
  <c r="Q57" i="6"/>
  <c r="AC57" i="6" l="1"/>
  <c r="AD57" i="6" s="1"/>
  <c r="AC185" i="6"/>
  <c r="AD185" i="6" s="1"/>
  <c r="X186" i="6"/>
  <c r="O186" i="6"/>
  <c r="J186" i="6"/>
  <c r="J122" i="6"/>
  <c r="O122" i="6"/>
  <c r="X122" i="6"/>
  <c r="AE122" i="6"/>
  <c r="J58" i="6"/>
  <c r="O58" i="6"/>
  <c r="X58" i="6"/>
  <c r="AG185" i="6"/>
  <c r="AG121" i="6"/>
  <c r="AG57" i="6"/>
  <c r="M186" i="6" l="1"/>
  <c r="P186" i="6"/>
  <c r="S186" i="6"/>
  <c r="Y186" i="6"/>
  <c r="Z186" i="6"/>
  <c r="M122" i="6"/>
  <c r="P122" i="6"/>
  <c r="S122" i="6"/>
  <c r="Y122" i="6"/>
  <c r="Z122" i="6"/>
  <c r="M58" i="6"/>
  <c r="P58" i="6"/>
  <c r="S58" i="6"/>
  <c r="Y58" i="6"/>
  <c r="Z58" i="6"/>
  <c r="L187" i="6" l="1"/>
  <c r="AF186" i="6"/>
  <c r="N186" i="6"/>
  <c r="AF122" i="6"/>
  <c r="N122" i="6"/>
  <c r="L123" i="6"/>
  <c r="L59" i="6"/>
  <c r="AF58" i="6"/>
  <c r="N58" i="6"/>
  <c r="I187" i="6" l="1"/>
  <c r="AA186" i="6"/>
  <c r="AB186" i="6" s="1"/>
  <c r="AC186" i="6" s="1"/>
  <c r="AD186" i="6" s="1"/>
  <c r="R186" i="6"/>
  <c r="Q186" i="6"/>
  <c r="AA122" i="6"/>
  <c r="AB122" i="6" s="1"/>
  <c r="AC122" i="6" s="1"/>
  <c r="AD122" i="6" s="1"/>
  <c r="R122" i="6"/>
  <c r="Q122" i="6"/>
  <c r="I123" i="6"/>
  <c r="W123" i="6"/>
  <c r="I59" i="6"/>
  <c r="AA58" i="6"/>
  <c r="AB58" i="6" s="1"/>
  <c r="AC58" i="6" s="1"/>
  <c r="AD58" i="6" s="1"/>
  <c r="R58" i="6"/>
  <c r="Q58" i="6"/>
  <c r="AG58" i="6" l="1"/>
  <c r="X187" i="6"/>
  <c r="O187" i="6"/>
  <c r="J187" i="6"/>
  <c r="J123" i="6"/>
  <c r="O123" i="6"/>
  <c r="X123" i="6"/>
  <c r="AE123" i="6"/>
  <c r="J59" i="6"/>
  <c r="O59" i="6"/>
  <c r="X59" i="6"/>
  <c r="AG186" i="6"/>
  <c r="AG122" i="6"/>
  <c r="M187" i="6" l="1"/>
  <c r="P187" i="6"/>
  <c r="S187" i="6"/>
  <c r="Y187" i="6"/>
  <c r="Z187" i="6"/>
  <c r="M123" i="6"/>
  <c r="P123" i="6"/>
  <c r="S123" i="6"/>
  <c r="Y123" i="6"/>
  <c r="Z123" i="6"/>
  <c r="M59" i="6"/>
  <c r="P59" i="6"/>
  <c r="S59" i="6"/>
  <c r="Y59" i="6"/>
  <c r="Z59" i="6"/>
  <c r="L188" i="6" l="1"/>
  <c r="AF187" i="6"/>
  <c r="N187" i="6"/>
  <c r="AF123" i="6"/>
  <c r="N123" i="6"/>
  <c r="L124" i="6"/>
  <c r="L60" i="6"/>
  <c r="AF59" i="6"/>
  <c r="N59" i="6"/>
  <c r="I188" i="6" l="1"/>
  <c r="AA187" i="6"/>
  <c r="AB187" i="6" s="1"/>
  <c r="R187" i="6"/>
  <c r="Q187" i="6"/>
  <c r="AA123" i="6"/>
  <c r="AB123" i="6" s="1"/>
  <c r="R123" i="6"/>
  <c r="Q123" i="6"/>
  <c r="I124" i="6"/>
  <c r="W124" i="6"/>
  <c r="I60" i="6"/>
  <c r="AA59" i="6"/>
  <c r="AB59" i="6" s="1"/>
  <c r="R59" i="6"/>
  <c r="Q59" i="6"/>
  <c r="AG123" i="6" l="1"/>
  <c r="AG59" i="6"/>
  <c r="AG187" i="6"/>
  <c r="X188" i="6"/>
  <c r="O188" i="6"/>
  <c r="J188" i="6"/>
  <c r="J124" i="6"/>
  <c r="O124" i="6"/>
  <c r="X124" i="6"/>
  <c r="AE124" i="6"/>
  <c r="J60" i="6"/>
  <c r="O60" i="6"/>
  <c r="X60" i="6"/>
  <c r="AC187" i="6"/>
  <c r="AD187" i="6" s="1"/>
  <c r="AC123" i="6"/>
  <c r="AD123" i="6" s="1"/>
  <c r="AC59" i="6"/>
  <c r="AD59" i="6" s="1"/>
  <c r="M188" i="6" l="1"/>
  <c r="P188" i="6"/>
  <c r="S188" i="6"/>
  <c r="Y188" i="6"/>
  <c r="Z188" i="6"/>
  <c r="M124" i="6"/>
  <c r="P124" i="6"/>
  <c r="S124" i="6"/>
  <c r="Y124" i="6"/>
  <c r="Z124" i="6"/>
  <c r="M60" i="6"/>
  <c r="P60" i="6"/>
  <c r="S60" i="6"/>
  <c r="Y60" i="6"/>
  <c r="Z60" i="6"/>
  <c r="L189" i="6" l="1"/>
  <c r="AF188" i="6"/>
  <c r="N188" i="6"/>
  <c r="AF124" i="6"/>
  <c r="N124" i="6"/>
  <c r="L125" i="6"/>
  <c r="L61" i="6"/>
  <c r="AF60" i="6"/>
  <c r="N60" i="6"/>
  <c r="I189" i="6" l="1"/>
  <c r="AA188" i="6"/>
  <c r="AB188" i="6" s="1"/>
  <c r="R188" i="6"/>
  <c r="Q188" i="6"/>
  <c r="AA124" i="6"/>
  <c r="AB124" i="6" s="1"/>
  <c r="R124" i="6"/>
  <c r="Q124" i="6"/>
  <c r="I125" i="6"/>
  <c r="W125" i="6"/>
  <c r="I61" i="6"/>
  <c r="AA60" i="6"/>
  <c r="AB60" i="6" s="1"/>
  <c r="AC60" i="6" s="1"/>
  <c r="AD60" i="6" s="1"/>
  <c r="R60" i="6"/>
  <c r="Q60" i="6"/>
  <c r="AC188" i="6" l="1"/>
  <c r="AD188" i="6" s="1"/>
  <c r="AG124" i="6"/>
  <c r="X189" i="6"/>
  <c r="O189" i="6"/>
  <c r="J189" i="6"/>
  <c r="J125" i="6"/>
  <c r="O125" i="6"/>
  <c r="X125" i="6"/>
  <c r="AE125" i="6"/>
  <c r="J61" i="6"/>
  <c r="O61" i="6"/>
  <c r="X61" i="6"/>
  <c r="AG188" i="6"/>
  <c r="AC124" i="6"/>
  <c r="AD124" i="6" s="1"/>
  <c r="AG60" i="6"/>
  <c r="M189" i="6" l="1"/>
  <c r="P189" i="6"/>
  <c r="S189" i="6"/>
  <c r="Y189" i="6"/>
  <c r="Z189" i="6"/>
  <c r="M125" i="6"/>
  <c r="P125" i="6"/>
  <c r="S125" i="6"/>
  <c r="Y125" i="6"/>
  <c r="Z125" i="6"/>
  <c r="M61" i="6"/>
  <c r="P61" i="6"/>
  <c r="S61" i="6"/>
  <c r="Y61" i="6"/>
  <c r="Z61" i="6"/>
  <c r="L190" i="6" l="1"/>
  <c r="AF189" i="6"/>
  <c r="N189" i="6"/>
  <c r="AF125" i="6"/>
  <c r="N125" i="6"/>
  <c r="L126" i="6"/>
  <c r="L62" i="6"/>
  <c r="AF61" i="6"/>
  <c r="N61" i="6"/>
  <c r="I190" i="6" l="1"/>
  <c r="AA189" i="6"/>
  <c r="AB189" i="6" s="1"/>
  <c r="R189" i="6"/>
  <c r="Q189" i="6"/>
  <c r="AA125" i="6"/>
  <c r="AB125" i="6" s="1"/>
  <c r="AC125" i="6" s="1"/>
  <c r="AD125" i="6" s="1"/>
  <c r="R125" i="6"/>
  <c r="Q125" i="6"/>
  <c r="I126" i="6"/>
  <c r="W126" i="6"/>
  <c r="I62" i="6"/>
  <c r="AA61" i="6"/>
  <c r="AB61" i="6" s="1"/>
  <c r="R61" i="6"/>
  <c r="Q61" i="6"/>
  <c r="AG189" i="6" l="1"/>
  <c r="AC61" i="6"/>
  <c r="AD61" i="6" s="1"/>
  <c r="X190" i="6"/>
  <c r="O190" i="6"/>
  <c r="J190" i="6"/>
  <c r="J126" i="6"/>
  <c r="O126" i="6"/>
  <c r="X126" i="6"/>
  <c r="AE126" i="6"/>
  <c r="J62" i="6"/>
  <c r="O62" i="6"/>
  <c r="X62" i="6"/>
  <c r="AC189" i="6"/>
  <c r="AD189" i="6" s="1"/>
  <c r="AG61" i="6"/>
  <c r="AG125" i="6"/>
  <c r="M190" i="6" l="1"/>
  <c r="P190" i="6"/>
  <c r="S190" i="6"/>
  <c r="Y190" i="6"/>
  <c r="Z190" i="6"/>
  <c r="M126" i="6"/>
  <c r="P126" i="6"/>
  <c r="S126" i="6"/>
  <c r="Y126" i="6"/>
  <c r="Z126" i="6"/>
  <c r="M62" i="6"/>
  <c r="P62" i="6"/>
  <c r="S62" i="6"/>
  <c r="Y62" i="6"/>
  <c r="Z62" i="6"/>
  <c r="L191" i="6" l="1"/>
  <c r="AF190" i="6"/>
  <c r="N190" i="6"/>
  <c r="AF126" i="6"/>
  <c r="N126" i="6"/>
  <c r="L127" i="6"/>
  <c r="L63" i="6"/>
  <c r="AF62" i="6"/>
  <c r="N62" i="6"/>
  <c r="I191" i="6" l="1"/>
  <c r="AA190" i="6"/>
  <c r="AB190" i="6" s="1"/>
  <c r="AC190" i="6" s="1"/>
  <c r="AD190" i="6" s="1"/>
  <c r="R190" i="6"/>
  <c r="Q190" i="6"/>
  <c r="AA126" i="6"/>
  <c r="AB126" i="6" s="1"/>
  <c r="R126" i="6"/>
  <c r="Q126" i="6"/>
  <c r="I127" i="6"/>
  <c r="W127" i="6"/>
  <c r="I63" i="6"/>
  <c r="AA62" i="6"/>
  <c r="AB62" i="6" s="1"/>
  <c r="AC62" i="6" s="1"/>
  <c r="AD62" i="6" s="1"/>
  <c r="R62" i="6"/>
  <c r="Q62" i="6"/>
  <c r="AG126" i="6" l="1"/>
  <c r="X191" i="6"/>
  <c r="O191" i="6"/>
  <c r="J191" i="6"/>
  <c r="J127" i="6"/>
  <c r="O127" i="6"/>
  <c r="X127" i="6"/>
  <c r="AE127" i="6"/>
  <c r="J63" i="6"/>
  <c r="O63" i="6"/>
  <c r="X63" i="6"/>
  <c r="AG62" i="6"/>
  <c r="AG190" i="6"/>
  <c r="AC126" i="6"/>
  <c r="AD126" i="6" s="1"/>
  <c r="M191" i="6" l="1"/>
  <c r="P191" i="6"/>
  <c r="S191" i="6"/>
  <c r="Y191" i="6"/>
  <c r="Z191" i="6"/>
  <c r="M127" i="6"/>
  <c r="P127" i="6"/>
  <c r="S127" i="6"/>
  <c r="Y127" i="6"/>
  <c r="Z127" i="6"/>
  <c r="M63" i="6"/>
  <c r="P63" i="6"/>
  <c r="S63" i="6"/>
  <c r="Y63" i="6"/>
  <c r="Z63" i="6"/>
  <c r="L192" i="6" l="1"/>
  <c r="AF191" i="6"/>
  <c r="N191" i="6"/>
  <c r="AF127" i="6"/>
  <c r="N127" i="6"/>
  <c r="L128" i="6"/>
  <c r="L64" i="6"/>
  <c r="AF63" i="6"/>
  <c r="N63" i="6"/>
  <c r="I192" i="6" l="1"/>
  <c r="AA191" i="6"/>
  <c r="AB191" i="6" s="1"/>
  <c r="AC191" i="6" s="1"/>
  <c r="AD191" i="6" s="1"/>
  <c r="R191" i="6"/>
  <c r="Q191" i="6"/>
  <c r="AA127" i="6"/>
  <c r="AB127" i="6" s="1"/>
  <c r="AC127" i="6" s="1"/>
  <c r="AD127" i="6" s="1"/>
  <c r="R127" i="6"/>
  <c r="Q127" i="6"/>
  <c r="I128" i="6"/>
  <c r="W128" i="6"/>
  <c r="I64" i="6"/>
  <c r="AA63" i="6"/>
  <c r="AB63" i="6" s="1"/>
  <c r="R63" i="6"/>
  <c r="Q63" i="6"/>
  <c r="AG63" i="6" l="1"/>
  <c r="X192" i="6"/>
  <c r="O192" i="6"/>
  <c r="J192" i="6"/>
  <c r="J128" i="6"/>
  <c r="O128" i="6"/>
  <c r="X128" i="6"/>
  <c r="AE128" i="6"/>
  <c r="J64" i="6"/>
  <c r="O64" i="6"/>
  <c r="X64" i="6"/>
  <c r="AG191" i="6"/>
  <c r="AG127" i="6"/>
  <c r="AC63" i="6"/>
  <c r="AD63" i="6" s="1"/>
  <c r="M192" i="6" l="1"/>
  <c r="P192" i="6"/>
  <c r="S192" i="6"/>
  <c r="Y192" i="6"/>
  <c r="Z192" i="6"/>
  <c r="M128" i="6"/>
  <c r="P128" i="6"/>
  <c r="S128" i="6"/>
  <c r="Y128" i="6"/>
  <c r="Z128" i="6"/>
  <c r="M64" i="6"/>
  <c r="P64" i="6"/>
  <c r="S64" i="6"/>
  <c r="Y64" i="6"/>
  <c r="Z64" i="6"/>
  <c r="L193" i="6" l="1"/>
  <c r="AF192" i="6"/>
  <c r="N192" i="6"/>
  <c r="AF128" i="6"/>
  <c r="N128" i="6"/>
  <c r="L129" i="6"/>
  <c r="L65" i="6"/>
  <c r="AF64" i="6"/>
  <c r="N64" i="6"/>
  <c r="I193" i="6" l="1"/>
  <c r="AA192" i="6"/>
  <c r="AB192" i="6" s="1"/>
  <c r="R192" i="6"/>
  <c r="Q192" i="6"/>
  <c r="AA128" i="6"/>
  <c r="AB128" i="6" s="1"/>
  <c r="R128" i="6"/>
  <c r="AG128" i="6" s="1"/>
  <c r="Q128" i="6"/>
  <c r="I129" i="6"/>
  <c r="W129" i="6"/>
  <c r="I65" i="6"/>
  <c r="AA64" i="6"/>
  <c r="AB64" i="6" s="1"/>
  <c r="AC64" i="6" s="1"/>
  <c r="AD64" i="6" s="1"/>
  <c r="R64" i="6"/>
  <c r="Q64" i="6"/>
  <c r="AC192" i="6" l="1"/>
  <c r="AD192" i="6" s="1"/>
  <c r="X193" i="6"/>
  <c r="O193" i="6"/>
  <c r="J193" i="6"/>
  <c r="J129" i="6"/>
  <c r="O129" i="6"/>
  <c r="X129" i="6"/>
  <c r="AE129" i="6"/>
  <c r="J65" i="6"/>
  <c r="O65" i="6"/>
  <c r="X65" i="6"/>
  <c r="AG192" i="6"/>
  <c r="AC128" i="6"/>
  <c r="AD128" i="6" s="1"/>
  <c r="AG64" i="6"/>
  <c r="M193" i="6" l="1"/>
  <c r="P193" i="6"/>
  <c r="S193" i="6"/>
  <c r="Y193" i="6"/>
  <c r="Z193" i="6"/>
  <c r="M129" i="6"/>
  <c r="P129" i="6"/>
  <c r="S129" i="6"/>
  <c r="Y129" i="6"/>
  <c r="Z129" i="6"/>
  <c r="M65" i="6"/>
  <c r="P65" i="6"/>
  <c r="S65" i="6"/>
  <c r="Y65" i="6"/>
  <c r="Z65" i="6"/>
  <c r="L194" i="6" l="1"/>
  <c r="AF193" i="6"/>
  <c r="N193" i="6"/>
  <c r="AF129" i="6"/>
  <c r="N129" i="6"/>
  <c r="L130" i="6"/>
  <c r="L66" i="6"/>
  <c r="AF65" i="6"/>
  <c r="N65" i="6"/>
  <c r="I194" i="6" l="1"/>
  <c r="AA193" i="6"/>
  <c r="AB193" i="6" s="1"/>
  <c r="R193" i="6"/>
  <c r="AG193" i="6" s="1"/>
  <c r="Q193" i="6"/>
  <c r="AA129" i="6"/>
  <c r="AB129" i="6" s="1"/>
  <c r="AC129" i="6" s="1"/>
  <c r="AD129" i="6" s="1"/>
  <c r="R129" i="6"/>
  <c r="Q129" i="6"/>
  <c r="I130" i="6"/>
  <c r="W130" i="6"/>
  <c r="I66" i="6"/>
  <c r="AA65" i="6"/>
  <c r="AB65" i="6" s="1"/>
  <c r="R65" i="6"/>
  <c r="Q65" i="6"/>
  <c r="AC65" i="6" l="1"/>
  <c r="AD65" i="6" s="1"/>
  <c r="X194" i="6"/>
  <c r="O194" i="6"/>
  <c r="J194" i="6"/>
  <c r="J130" i="6"/>
  <c r="O130" i="6"/>
  <c r="X130" i="6"/>
  <c r="AE130" i="6"/>
  <c r="J66" i="6"/>
  <c r="O66" i="6"/>
  <c r="X66" i="6"/>
  <c r="AG129" i="6"/>
  <c r="AG65" i="6"/>
  <c r="AC193" i="6"/>
  <c r="AD193" i="6" s="1"/>
  <c r="M194" i="6" l="1"/>
  <c r="P194" i="6"/>
  <c r="S194" i="6"/>
  <c r="Y194" i="6"/>
  <c r="Z194" i="6"/>
  <c r="M130" i="6"/>
  <c r="P130" i="6"/>
  <c r="S130" i="6"/>
  <c r="Y130" i="6"/>
  <c r="Z130" i="6"/>
  <c r="M66" i="6"/>
  <c r="P66" i="6"/>
  <c r="S66" i="6"/>
  <c r="Y66" i="6"/>
  <c r="Z66" i="6"/>
  <c r="L195" i="6" l="1"/>
  <c r="AF194" i="6"/>
  <c r="N194" i="6"/>
  <c r="AF130" i="6"/>
  <c r="N130" i="6"/>
  <c r="L131" i="6"/>
  <c r="L67" i="6"/>
  <c r="AF66" i="6"/>
  <c r="N66" i="6"/>
  <c r="I195" i="6" l="1"/>
  <c r="AA194" i="6"/>
  <c r="AB194" i="6" s="1"/>
  <c r="R194" i="6"/>
  <c r="Q194" i="6"/>
  <c r="AA130" i="6"/>
  <c r="AB130" i="6" s="1"/>
  <c r="R130" i="6"/>
  <c r="Q130" i="6"/>
  <c r="I131" i="6"/>
  <c r="W131" i="6"/>
  <c r="I67" i="6"/>
  <c r="AA66" i="6"/>
  <c r="AB66" i="6" s="1"/>
  <c r="R66" i="6"/>
  <c r="Q66" i="6"/>
  <c r="AG130" i="6" l="1"/>
  <c r="AG194" i="6"/>
  <c r="AC66" i="6"/>
  <c r="AD66" i="6" s="1"/>
  <c r="X195" i="6"/>
  <c r="O195" i="6"/>
  <c r="J195" i="6"/>
  <c r="J131" i="6"/>
  <c r="O131" i="6"/>
  <c r="X131" i="6"/>
  <c r="AE131" i="6"/>
  <c r="J67" i="6"/>
  <c r="O67" i="6"/>
  <c r="X67" i="6"/>
  <c r="AG66" i="6"/>
  <c r="AC194" i="6"/>
  <c r="AD194" i="6" s="1"/>
  <c r="AC130" i="6"/>
  <c r="AD130" i="6" s="1"/>
  <c r="M195" i="6" l="1"/>
  <c r="P195" i="6"/>
  <c r="S195" i="6"/>
  <c r="Y195" i="6"/>
  <c r="Z195" i="6"/>
  <c r="M131" i="6"/>
  <c r="P131" i="6"/>
  <c r="S131" i="6"/>
  <c r="Y131" i="6"/>
  <c r="Z131" i="6"/>
  <c r="M67" i="6"/>
  <c r="P67" i="6"/>
  <c r="S67" i="6"/>
  <c r="Y67" i="6"/>
  <c r="Z67" i="6"/>
  <c r="L196" i="6" l="1"/>
  <c r="AF195" i="6"/>
  <c r="N195" i="6"/>
  <c r="AF131" i="6"/>
  <c r="N131" i="6"/>
  <c r="L132" i="6"/>
  <c r="L68" i="6"/>
  <c r="AF67" i="6"/>
  <c r="N67" i="6"/>
  <c r="I196" i="6" l="1"/>
  <c r="AA195" i="6"/>
  <c r="AB195" i="6" s="1"/>
  <c r="R195" i="6"/>
  <c r="Q195" i="6"/>
  <c r="AA131" i="6"/>
  <c r="AB131" i="6" s="1"/>
  <c r="R131" i="6"/>
  <c r="Q131" i="6"/>
  <c r="I132" i="6"/>
  <c r="W132" i="6"/>
  <c r="I68" i="6"/>
  <c r="AA67" i="6"/>
  <c r="AB67" i="6" s="1"/>
  <c r="R67" i="6"/>
  <c r="Q67" i="6"/>
  <c r="AC195" i="6" l="1"/>
  <c r="AD195" i="6" s="1"/>
  <c r="AC131" i="6"/>
  <c r="AD131" i="6" s="1"/>
  <c r="AG67" i="6"/>
  <c r="X196" i="6"/>
  <c r="O196" i="6"/>
  <c r="J196" i="6"/>
  <c r="J132" i="6"/>
  <c r="O132" i="6"/>
  <c r="X132" i="6"/>
  <c r="AE132" i="6"/>
  <c r="J68" i="6"/>
  <c r="O68" i="6"/>
  <c r="X68" i="6"/>
  <c r="AG195" i="6"/>
  <c r="AG131" i="6"/>
  <c r="AC67" i="6"/>
  <c r="AD67" i="6" s="1"/>
  <c r="M196" i="6" l="1"/>
  <c r="P196" i="6"/>
  <c r="S196" i="6"/>
  <c r="Y196" i="6"/>
  <c r="Z196" i="6"/>
  <c r="M132" i="6"/>
  <c r="P132" i="6"/>
  <c r="S132" i="6"/>
  <c r="Y132" i="6"/>
  <c r="Z132" i="6"/>
  <c r="M68" i="6"/>
  <c r="P68" i="6"/>
  <c r="S68" i="6"/>
  <c r="Y68" i="6"/>
  <c r="Z68" i="6"/>
  <c r="N196" i="6" l="1"/>
  <c r="AF196" i="6"/>
  <c r="AF132" i="6"/>
  <c r="N132" i="6"/>
  <c r="N68" i="6"/>
  <c r="AF68" i="6"/>
  <c r="AA196" i="6" l="1"/>
  <c r="AB196" i="6" s="1"/>
  <c r="AC196" i="6" s="1"/>
  <c r="AD196" i="6" s="1"/>
  <c r="N35" i="3" s="1"/>
  <c r="R196" i="6"/>
  <c r="Q196" i="6"/>
  <c r="O35" i="3"/>
  <c r="H35" i="3"/>
  <c r="I35" i="3" s="1"/>
  <c r="O34" i="3"/>
  <c r="H34" i="3"/>
  <c r="I34" i="3" s="1"/>
  <c r="AA132" i="6"/>
  <c r="AB132" i="6" s="1"/>
  <c r="AC132" i="6" s="1"/>
  <c r="AD132" i="6" s="1"/>
  <c r="N34" i="3" s="1"/>
  <c r="R132" i="6"/>
  <c r="Q132" i="6"/>
  <c r="AA68" i="6"/>
  <c r="AB68" i="6" s="1"/>
  <c r="R68" i="6"/>
  <c r="Q68" i="6"/>
  <c r="H33" i="3"/>
  <c r="I33" i="3" s="1"/>
  <c r="O33" i="3"/>
  <c r="AC68" i="6" l="1"/>
  <c r="AD68" i="6" s="1"/>
  <c r="N33" i="3" s="1"/>
  <c r="AG196" i="6"/>
  <c r="AG132" i="6"/>
  <c r="AG6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Команда 1818</author>
  </authors>
  <commentList>
    <comment ref="C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 т = 1 000 кг; масса замеса, не тоннаж сырья за период.</t>
        </r>
      </text>
    </comment>
    <comment ref="C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Цена похожего готового продукта, не закупочная цена клиента и не публичная оферта; подтвердить коммерческим предложением.</t>
        </r>
      </text>
    </comment>
    <comment ref="C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Заменить фактической калькуляцией клиента.</t>
        </r>
      </text>
    </comment>
    <comment ref="C8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Взята середина диапазона; архивная страница при прямом открытии сумму не отображает. Фактическая полная стоимость часа клиента может отличаться.</t>
        </r>
      </text>
    </comment>
    <comment ref="C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Используется для перевода месячного оклада в стоимость часа, не табель клиента.</t>
        </r>
      </text>
    </comment>
    <comment ref="C10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Заданный сценарий 1/2/4 в месяц.</t>
        </r>
      </text>
    </comment>
    <comment ref="C1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Проверить журналом брака клиента.</t>
        </r>
      </text>
    </comment>
    <comment ref="C12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Верхний сценарий, не прогноз фактической частоты.</t>
        </r>
      </text>
    </comment>
    <comment ref="C13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Заменить фактическим исходом текущей ручной коррекции/утилизации.</t>
        </r>
      </text>
    </comment>
    <comment ref="C1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Стресс: теряется вся расчётная сырьевая стоимость замеса.</t>
        </r>
      </text>
    </comment>
    <comment ref="C1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Проверить в пилоте; система рекомендует коррекцию, но не управляет оборудованием.</t>
        </r>
      </text>
    </comment>
    <comment ref="C1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Пониженная эффективность коррекции в стрессе.</t>
        </r>
      </text>
    </comment>
    <comment ref="C17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Предполагает, что технолог уже исправляет 80% событий смешиванием/следующим замесом; заменяется долей по журналу пилота. Эффект сервиса считается только на оставшейся доле.</t>
        </r>
      </text>
    </comment>
    <comment ref="C18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Стрессовый сценарий: 98% событий уже исправляется вручную без сервиса; значение не подтверждено и выбрано как adverse sensitivity.</t>
        </r>
      </text>
    </comment>
    <comment ref="C19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Не прогноз: аудиторская оценка границы нулевого чистого эффекта в прежней модели.</t>
        </r>
      </text>
    </comment>
    <comment ref="C20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65 000 ₽ использовано только как точка чувствительности; источника у этой оценки нет.</t>
        </r>
      </text>
    </comment>
    <comment ref="C2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узкого рынка 11 компаний действует в годах 1–2. SOM 3/3/6 даёт 12 накопленных аккаунтов к Y3: 11 из узкого SAM и 1 из смежного сегмента, то есть SOM исчерпывает именной SAM; рост в Y3–Y5 (12, 18 и 24 накопленных) и сценарий C требуют широкого сегмента, неподтверждённого прокси.</t>
        </r>
      </text>
    </comment>
    <comment ref="C22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Сценарий смежных пищевых производств; не подтверждён именным списком и не равен узкому SAM.</t>
        </r>
      </text>
    </comment>
    <comment ref="C23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Согласовано с длительностью 4–6 недель в плане пилота; не два месяца фактической работы.</t>
        </r>
      </text>
    </comment>
    <comment ref="C24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Бюджетный блок резервирует два календарных месяца, чтобы консервативно покрыть 4–6 недель.</t>
        </r>
      </text>
    </comment>
    <comment ref="C25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Базовая конверсия 1 платный клиент на 2 пилотных слота; чувствительности: 1/1 и 1/3. Полевой труд CAC — 20 ч на пилот; бюджетный этап пилота остаётся 2 месяца.</t>
        </r>
      </text>
    </comment>
    <comment ref="C26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Расчётная доля часов команды, не подтверждённый календарь.</t>
        </r>
      </text>
    </comment>
    <comment ref="C27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Шесть пилотных слотов по 20 полевых часов; не подтверждённый календарь.</t>
        </r>
      </text>
    </comment>
    <comment ref="C28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Двенадцать пилотных слотов по 20 полевых часов; в годах 4–5 используется как непроверенная экстраполяция.</t>
        </r>
      </text>
    </comment>
    <comment ref="C29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Проверяется по внедрению 20 ч/клиент; не подтверждённый календарь.</t>
        </r>
      </text>
    </comment>
    <comment ref="C30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Шесть слотов по 20 ч внедрения; не подтверждённый календарь.</t>
        </r>
      </text>
    </comment>
    <comment ref="C31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Двенадцать слотов по 20 ч внедрения; в годах 4–5 продолжение не подтверждено.</t>
        </r>
      </text>
    </comment>
    <comment ref="C32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Эквивалент 6 аккаунтов по 24 ч/год; не подтверждённый календарь.</t>
        </r>
      </text>
    </comment>
    <comment ref="C33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Эквивалент 12 аккаунтов по 24 ч/год; не подтверждённый календарь.</t>
        </r>
      </text>
    </comment>
    <comment ref="C34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В годах 4–5 используется как неизменный сценарный уровень; продолжение темпа не подтверждено.</t>
        </r>
      </text>
    </comment>
    <comment ref="C35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Не включено в чистый эффект/расходы проекта; требуется выбрать устройство, защиту и подтвердить цену по требованиям предприятия.</t>
        </r>
      </text>
    </comment>
    <comment ref="C36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Продолжение темпа после года 3 не подтверждено; итоговые сделки всё равно ограничены часами команды и SAM.</t>
        </r>
      </text>
    </comment>
    <comment ref="C37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Продолжение темпа после года 3 не подтверждено.</t>
        </r>
      </text>
    </comment>
    <comment ref="C38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Плановый спрос на пилоты ограничивается почасовой мощностью команды.</t>
        </r>
      </text>
    </comment>
    <comment ref="C39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Верхний спросовой план; фактические продажи ограничены мощностью и размером SAM.</t>
        </r>
      </text>
    </comment>
    <comment ref="C40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20 полевых часов на попытку для CAC; подготовка, сверка и отчёт остаются внутри двухмесячного бюджетного этапа и отдельно не оценены.</t>
        </r>
      </text>
    </comment>
    <comment ref="C4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Один платный аккаунт на два полевых пилота; оснований считать конверсию подтверждённой пока нет.</t>
        </r>
      </text>
    </comment>
    <comment ref="C42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Один пилотный слот на один платный аккаунт; не базовый прогноз.</t>
        </r>
      </text>
    </comment>
    <comment ref="C43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Одна платная сделка на три пилотных слота; нижняя точка для CAC/продаж.</t>
        </r>
      </text>
    </comment>
    <comment ref="C44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Верхняя мощность при 20 полевых часах на слот; базовые платные аккаунты при конверсии 1/2 — 3.</t>
        </r>
      </text>
    </comment>
    <comment ref="C45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Верхняя мощность при 20 полевых часах на слот; базовые платные аккаунты при конверсии 1/2 — 3.</t>
        </r>
      </text>
    </comment>
    <comment ref="C46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Верхняя мощность при 20 полевых часах на слот; базовые платные аккаунты при конверсии 1/2 — 6.</t>
        </r>
      </text>
    </comment>
    <comment ref="C47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4 участника × 2 ч/нед. × 48 недель; сценарная доступность, не календарь.</t>
        </r>
      </text>
    </comment>
    <comment ref="C48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4 участника × 4 ч/нед. × 48 недель; сценарная доступность, не календарь.</t>
        </r>
      </text>
    </comment>
    <comment ref="C49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4 участника × 8 ч/нед. × 48 недель; сценарная доступность, не календарь.</t>
        </r>
      </text>
    </comment>
    <comment ref="C50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Предварительный порог N; выплаты включаются со следующего месяца после достижения N.</t>
        </r>
      </text>
    </comment>
    <comment ref="C51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Не зарплатный ориентир и не подтверждённое обязательство; изменить после согласования владельца.</t>
        </r>
      </text>
    </comment>
    <comment ref="C52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Вдвое меньше текущих 5 000 ₽/мес.; требует проверки часов и качества поддержки.</t>
        </r>
      </text>
    </comment>
    <comment ref="C53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Освобождает командную мощность относительно полного пакета поддержки; не подтверждённый SLA.</t>
        </r>
      </text>
    </comment>
    <comment ref="C54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Использовать формулировку дословно.</t>
        </r>
      </text>
    </comment>
    <comment ref="C55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Расчёт: 5 000 ₽/мес. поддержки ÷ 2 500 ₽/ч = 2 ч/мес.; проверяется пилотом.</t>
        </r>
      </text>
    </comment>
    <comment ref="C56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Шесть пилотных слотов — максимум 6 платных аккаунтов при 1/1; базовая 1/2 даёт 3, которые использует расчёт.</t>
        </r>
      </text>
    </comment>
    <comment ref="C57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Шесть доступных пилотных слотов; базовая конверсия 1/2 даёт 3 платных аккаунта за год.</t>
        </r>
      </text>
    </comment>
    <comment ref="C58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Двенадцать пилотных слотов — максимум при 1/1; базовая конверсия 1/2 даёт 6 новых клиентов. Продолжение темпа в годах 4–5 не подтверждено.</t>
        </r>
      </text>
    </comment>
    <comment ref="C59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Нулевые события дают нулевой эффект; подписка и расходы клиента остаются.</t>
        </r>
      </text>
    </comment>
    <comment ref="C60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Задан верхний край диапазона чувствительности, не частотный прогноз.</t>
        </r>
      </text>
    </comment>
    <comment ref="C61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Промежуточная сценарная точка; проверить фактическим журналом брака.</t>
        </r>
      </text>
    </comment>
    <comment ref="C62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Верхняя сценарная граница, не измерение.</t>
        </r>
      </text>
    </comment>
    <comment ref="C63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Нижняя сценарная точка.</t>
        </r>
      </text>
    </comment>
    <comment ref="C64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Верхняя граница диапазона, не измерение.</t>
        </r>
      </text>
    </comment>
    <comment ref="C65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Нижняя граница соответствует отсутствию ручных исправлений; сравнение показывает зависимость эффекта от обхода.</t>
        </r>
      </text>
    </comment>
    <comment ref="C66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Точка даёт CAC 238 750 ₽ при 1 платном клиенте/мес., но не помещается в план мощности: 36 пилотов/год против 6/12/24 слотов.</t>
        </r>
      </text>
    </comment>
    <comment ref="C67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Проверить хронометражем.</t>
        </r>
      </text>
    </comment>
    <comment ref="C68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Поиск партии и решение о коррекции.</t>
        </r>
      </text>
    </comment>
    <comment ref="C69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Стрессовое время ручного разбора.</t>
        </r>
      </text>
    </comment>
    <comment ref="C70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Стрессовое время поиска и решения с системой.</t>
        </r>
      </text>
    </comment>
    <comment ref="C71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Денежный прокси, не тариф подрядчика; проверить у предприятия.</t>
        </r>
      </text>
    </comment>
    <comment ref="C72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Стрессовый прокси, не подтверждённый тариф.</t>
        </r>
      </text>
    </comment>
    <comment ref="C73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Доля сырьевой стоимости спасённой части на дополнительные ингредиенты/операции.</t>
        </r>
      </text>
    </comment>
    <comment ref="C74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Стрессовый уровень дополнительных расходов на коррекцию.</t>
        </r>
      </text>
    </comment>
    <comment ref="C75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Выбрана как более осторожная цена: годовая подписка 300 000 ₽ — 55,6% базового эффекта сверх ручного обхода (539 439 ₽ в год), окупается при 1,11 события в месяц; оставляет ценовой запас и снижает барьер при неизвестном SAM/WTP.</t>
        </r>
      </text>
    </comment>
    <comment ref="C76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Годовая цена 480 000 ₽ — 89,0% от базового эффекта сверх ручного обхода 539 439 ₽ (до внедрения и расходов клиента); чистый эффект года 1 при такой цене — −51 792 ₽.</t>
        </r>
      </text>
    </comment>
    <comment ref="C77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>Цена первичной настройки, маркировки и обучения.</t>
        </r>
      </text>
    </comment>
    <comment ref="C78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Стартовые этикетки/идентификаторы и расходники.</t>
        </r>
      </text>
    </comment>
    <comment ref="C79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Совокупные часы участников обучения.</t>
        </r>
      </text>
    </comment>
    <comment ref="C80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Настройка справочников, маркировка, обучение и запуск.</t>
        </r>
      </text>
    </comment>
    <comment ref="C81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Плановый cost rate исполнителя внедрения.</t>
        </r>
      </text>
    </comment>
    <comment ref="C82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Стартовый комплект маркировки со стороны проекта.</t>
        </r>
      </text>
    </comment>
    <comment ref="C83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>Плановая переменная поддержка; проверить по пилотным обращениям.</t>
        </r>
      </text>
    </comment>
    <comment ref="C84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Гипотеза удержания, не подтверждённая когортами.</t>
        </r>
      </text>
    </comment>
    <comment ref="C85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Список не является переписью активных/подходящих покупателей; код включает приправы, уксус и соль. Не TAM и не SAM.</t>
        </r>
      </text>
    </comment>
    <comment ref="C86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Использовано только для планового сравнения тарифов, фактическая работа/выключения изменят счёт.</t>
        </r>
      </text>
    </comment>
    <comment ref="C87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Цена региона Россия в опубликованном примере; зависит от платформы/конфигурации.</t>
        </r>
      </text>
    </comment>
    <comment ref="C88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Цена региона Россия в опубликованном примере; зависит от платформы/конфигурации.</t>
        </r>
      </text>
    </comment>
    <comment ref="C89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>Не включает VM-диск, IP, БД, резервные копии и другие компоненты.</t>
        </r>
      </text>
    </comment>
    <comment ref="C90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Блочный диск тарифицируется отдельно от запущенной VM.</t>
        </r>
      </text>
    </comment>
    <comment ref="C91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Плановая стартовая регистрация; возможны скидки.</t>
        </r>
      </text>
    </comment>
    <comment ref="C92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Для второго года модели.</t>
        </r>
      </text>
    </comment>
    <comment ref="C93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>В расчёте взята нижняя граница полной занятости; частичная занятость считается пропорционально FTE. Архивная страница может не показывать зарплату напрямую.</t>
        </r>
      </text>
    </comment>
    <comment ref="C94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Зарплатный ориентир из выдачи hh.ru; продажа промышленного ПО может отличаться.</t>
        </r>
      </text>
    </comment>
    <comment ref="C95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>Плановый буфер к gross-окладу на нагрузку работодателя; не расчёт налогов или юридическая ставка.</t>
        </r>
      </text>
    </comment>
    <comment ref="C96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Переменная часть CAC, проверить с каналом и командой.</t>
        </r>
      </text>
    </comment>
    <comment ref="C97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Воронка-гипотеза: 20 контактов → 6 встреч → 3 демонстрации/пилота → 1 платный клиент в месяц.</t>
        </r>
      </text>
    </comment>
    <comment ref="C98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Гипотеза конверсии из 20 тёплых интро.</t>
        </r>
      </text>
    </comment>
    <comment ref="C99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Гипотеза конверсии из встреч.</t>
        </r>
      </text>
    </comment>
    <comment ref="C100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Ожидание 3 платных аккаунтов за год 1; считать по 2 пилота на продажу, не по верхнему SAM-потолку 6.</t>
        </r>
      </text>
    </comment>
    <comment ref="C101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>Часть рабочего времени на тёплый аутрич, встречи и отраслевые мероприятия.</t>
        </r>
      </text>
    </comment>
    <comment ref="C102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Бюджет на поездки, встречи и участие/посещение отраслевых мероприятий; не рекламный прайс.</t>
        </r>
      </text>
    </comment>
    <comment ref="C103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Двойная воронка-гипотеза: 40 контактов → 12 встреч → 6 демонстраций/пилотов → 2 платных клиента в месяц.</t>
        </r>
      </text>
    </comment>
    <comment ref="C104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Гипотеза конверсии из 40 тёплых интро.</t>
        </r>
      </text>
    </comment>
    <comment ref="C105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Гипотеза конверсии из встреч.</t>
        </r>
      </text>
    </comment>
    <comment ref="C106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Ожидание 3 платных аккаунтов за год 2; считать по 2 пилота на продажу, не по верхнему SAM-потолку 6.</t>
        </r>
      </text>
    </comment>
    <comment ref="C107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>Часть рабочего времени, доля зарплаты включена в CAC по выигранным клиентам.</t>
        </r>
      </text>
    </comment>
    <comment ref="C108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Бюджет на встречи и отраслевые мероприятия; делится на число клиентов по воронке.</t>
        </r>
      </text>
    </comment>
    <comment ref="C109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>В календарной модели пилот занимает 4–6 недель; два бюджетных месячных периода — консервативный резерв, не фактическая длительность пилота.</t>
        </r>
      </text>
    </comment>
    <comment ref="C110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Один небольшой сервер для тестовой версии.</t>
        </r>
      </text>
    </comment>
    <comment ref="C111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>Конфигурация соответствует тарифному примеру Yandex Cloud.</t>
        </r>
      </text>
    </comment>
    <comment ref="C112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VM тарифицируется за фактическое время работы.</t>
        </r>
      </text>
    </comment>
    <comment ref="C113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>Минимальная конфигурация для демонстрации, не production-ёмкость.</t>
        </r>
      </text>
    </comment>
    <comment ref="C114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Объём для тестовых данных.</t>
        </r>
      </text>
    </comment>
    <comment ref="C115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Не коммерческое предложение; покрытия дополнительных компонентов/трафика до проверки конфигурации.</t>
        </r>
      </text>
    </comment>
    <comment ref="C116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Небольшой резерв на сервисы тестирования и эксплуатации.</t>
        </r>
      </text>
    </comment>
    <comment ref="C117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>Включается один раз в стоимость пилота.</t>
        </r>
      </text>
    </comment>
    <comment ref="C118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>Два месяца после пилота; этапы в бюджете считаются последовательно, без двойного счёта.</t>
        </r>
      </text>
    </comment>
    <comment ref="C119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>Один разработчик на половине ставки.</t>
        </r>
      </text>
    </comment>
    <comment ref="C120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>Половина полной занятости.</t>
        </r>
      </text>
    </comment>
    <comment ref="C121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Один сервер для MVP.</t>
        </r>
      </text>
    </comment>
    <comment ref="C122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Расчётный тарифный профиль.</t>
        </r>
      </text>
    </comment>
    <comment ref="C123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Профиль 100% vCPU.</t>
        </r>
      </text>
    </comment>
    <comment ref="C124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>Расчётный профиль; проверить нагрузочным тестом.</t>
        </r>
      </text>
    </comment>
    <comment ref="C125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>Расчётный профиль для MVP.</t>
        </r>
      </text>
    </comment>
    <comment ref="C126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>Не счёт провайдера; уточнить конфигурацией.</t>
        </r>
      </text>
    </comment>
    <comment ref="C127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>Сервисы контроля кода, тестирования и эксплуатации.</t>
        </r>
      </text>
    </comment>
    <comment ref="C128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>Ноль здесь означает отсутствие коммерческой выручки по плану, не отсутствие спроса.</t>
        </r>
      </text>
    </comment>
    <comment ref="C129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>Первый год коммерческого роста после MVP.</t>
        </r>
      </text>
    </comment>
    <comment ref="C130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>Один разработчик на половине ставки.</t>
        </r>
      </text>
    </comment>
    <comment ref="C131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>Половина полной занятости.</t>
        </r>
      </text>
    </comment>
    <comment ref="C132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>Одна VM в базовом профиле; масштабировать при нагрузке.</t>
        </r>
      </text>
    </comment>
    <comment ref="C133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>Плановый профиль.</t>
        </r>
      </text>
    </comment>
    <comment ref="C134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>Профиль 100% vCPU.</t>
        </r>
      </text>
    </comment>
    <comment ref="C135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>Плановый профиль.</t>
        </r>
      </text>
    </comment>
    <comment ref="C136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>Плановый объём данных и журналов.</t>
        </r>
      </text>
    </comment>
    <comment ref="C137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>Не счёт провайдера; необходимо уточнить профиль и требования к данным.</t>
        </r>
      </text>
    </comment>
    <comment ref="C138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>Бюджет на мониторинг, тестирование, связь и операционные сервисы.</t>
        </r>
      </text>
    </comment>
    <comment ref="C139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>Ожидание 3 платных аккаунтов за год 1; дробное значение — математическое ожидание, не календарный контракт.</t>
        </r>
      </text>
    </comment>
    <comment ref="C140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>Продавец B2B частично занят; его загруженная зарплата распределяется через CAC, не дублируется в fixed burn.</t>
        </r>
      </text>
    </comment>
    <comment ref="C141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>Транспорт, встречи и посещение отраслевых мероприятий; тёплые интро/рекомендации без покупки рекламы.</t>
        </r>
      </text>
    </comment>
    <comment ref="C142" authorId="0" shapeId="0" xr:uid="{00000000-0006-0000-0000-00008A000000}">
      <text>
        <r>
          <rPr>
            <sz val="11"/>
            <color theme="1"/>
            <rFont val="Calibri"/>
            <family val="2"/>
            <scheme val="minor"/>
          </rPr>
          <t>Второй год коммерческого роста.</t>
        </r>
      </text>
    </comment>
    <comment ref="C143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>Два разработчика по половине ставки (1 FTE суммарно).</t>
        </r>
      </text>
    </comment>
    <comment ref="C144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>Половина полной занятости на каждого разработчика.</t>
        </r>
      </text>
    </comment>
    <comment ref="C145" authorId="0" shapeId="0" xr:uid="{00000000-0006-0000-0000-00008D000000}">
      <text>
        <r>
          <rPr>
            <sz val="11"/>
            <color theme="1"/>
            <rFont val="Calibri"/>
            <family val="2"/>
            <scheme val="minor"/>
          </rPr>
          <t>Две VM под приложение и изолированный контур/резерв; пересмотреть по нагрузке.</t>
        </r>
      </text>
    </comment>
    <comment ref="C146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>Плановый профиль.</t>
        </r>
      </text>
    </comment>
    <comment ref="C147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>Профиль 100% vCPU.</t>
        </r>
      </text>
    </comment>
    <comment ref="C148" authorId="0" shapeId="0" xr:uid="{00000000-0006-0000-0000-000090000000}">
      <text>
        <r>
          <rPr>
            <sz val="11"/>
            <color theme="1"/>
            <rFont val="Calibri"/>
            <family val="2"/>
            <scheme val="minor"/>
          </rPr>
          <t>Плановый профиль.</t>
        </r>
      </text>
    </comment>
    <comment ref="C149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>Плановый суммарный объём двух контуров.</t>
        </r>
      </text>
    </comment>
    <comment ref="C150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>Не счёт провайдера; увеличен на второй контур и дополнительные managed services.</t>
        </r>
      </text>
    </comment>
    <comment ref="C151" authorId="0" shapeId="0" xr:uid="{00000000-0006-0000-0000-000093000000}">
      <text>
        <r>
          <rPr>
            <sz val="11"/>
            <color theme="1"/>
            <rFont val="Calibri"/>
            <family val="2"/>
            <scheme val="minor"/>
          </rPr>
          <t>Мониторинг, тестирование, коммуникации и прочие операционные инструменты.</t>
        </r>
      </text>
    </comment>
    <comment ref="C152" authorId="0" shapeId="0" xr:uid="{00000000-0006-0000-0000-000094000000}">
      <text>
        <r>
          <rPr>
            <sz val="11"/>
            <color theme="1"/>
            <rFont val="Calibri"/>
            <family val="2"/>
            <scheme val="minor"/>
          </rPr>
          <t>Ожидание 3 платных аккаунтов за год 2; дробное значение — математическое ожидание, не календарный контракт.</t>
        </r>
      </text>
    </comment>
    <comment ref="C153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>Занятость сохраняется; зарплата распределяется через CAC, без двойного счёта.</t>
        </r>
      </text>
    </comment>
    <comment ref="C154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>Транспорт, встречи и отраслевые мероприятия; рекомендации и тёплые интро.</t>
        </r>
      </text>
    </comment>
  </commentList>
</comments>
</file>

<file path=xl/sharedStrings.xml><?xml version="1.0" encoding="utf-8"?>
<sst xmlns="http://schemas.openxmlformats.org/spreadsheetml/2006/main" count="1554" uniqueCount="756">
  <si>
    <t>Экономика решения D — входные параметры и источники</t>
  </si>
  <si>
    <t>Синие числа на жёлтом фоне — редактируемые входы. Источник, дата и статус указаны справа. Параметры пилота нужно заменить фактическими данными после проверки.</t>
  </si>
  <si>
    <t>Ключ</t>
  </si>
  <si>
    <t>Параметр</t>
  </si>
  <si>
    <t>Значение</t>
  </si>
  <si>
    <t>Ед.</t>
  </si>
  <si>
    <t>Источник / статус</t>
  </si>
  <si>
    <t>Дата и оговорка</t>
  </si>
  <si>
    <t>batch_mass_kg</t>
  </si>
  <si>
    <t>Масса одного замеса</t>
  </si>
  <si>
    <t>кг</t>
  </si>
  <si>
    <t>источник — Интервью №1 [00:14:13], расчёт команды</t>
  </si>
  <si>
    <t>2026-10-20 — 1 т = 1 000 кг; масса замеса, не тоннаж сырья за период.</t>
  </si>
  <si>
    <t>sauce_price_rub_per_kg</t>
  </si>
  <si>
    <t>Публичная оптовая цена аналога соуса</t>
  </si>
  <si>
    <t>₽/кг</t>
  </si>
  <si>
    <t>публичный рыночный ориентир — https://nevafood.ru/product/medovo-gorcicnaia-zapravka — указано «до 371 ₽/кг», минимум 40 кг, цена может отличаться, НДС включён</t>
  </si>
  <si>
    <t>2026-10-20 — Цена похожего готового продукта, не закупочная цена клиента и не публичная оферта; подтвердить коммерческим предложением.</t>
  </si>
  <si>
    <t>raw_cost_share</t>
  </si>
  <si>
    <t>Доля сырья в цене продукта</t>
  </si>
  <si>
    <t>доля</t>
  </si>
  <si>
    <t>параметр пилота — параметр пилота</t>
  </si>
  <si>
    <t>2026-10-20 — Заменить фактической калькуляцией клиента.</t>
  </si>
  <si>
    <t>technologist_monthly_salary</t>
  </si>
  <si>
    <t>Оклад технолога пищевого производства в Москве, середина диапазона</t>
  </si>
  <si>
    <t>₽/мес до налога</t>
  </si>
  <si>
    <t>публичный ориентир hh.ru — https://hh.ru/vacancy/130708856 — выдача hh.ru показывала 120 000–150 000 ₽/мес; вакансия опубликована 17.03.2026, в архиве</t>
  </si>
  <si>
    <t>2026-10-20 — Взята середина диапазона; архивная страница при прямом открытии сумму не отображает. Фактическая полная стоимость часа клиента может отличаться.</t>
  </si>
  <si>
    <t>technologist_monthly_hours</t>
  </si>
  <si>
    <t>Расчётных часов в месяце</t>
  </si>
  <si>
    <t>ч/мес</t>
  </si>
  <si>
    <t>расчётное допущение — параметр модели: 40 ч × 52 недели / 12 месяцев</t>
  </si>
  <si>
    <t>2026-10-20 — Используется для перевода месячного оклада в стоимость часа, не табель клиента.</t>
  </si>
  <si>
    <t>reject_frequency_low</t>
  </si>
  <si>
    <t>Отклонённые замесы — низкий сценарий</t>
  </si>
  <si>
    <t>замес/мес</t>
  </si>
  <si>
    <t>2026-10-20 — Заданный сценарий 1/2/4 в месяц.</t>
  </si>
  <si>
    <t>reject_frequency_base</t>
  </si>
  <si>
    <t>Отклонённые замесы — базовый сценарий</t>
  </si>
  <si>
    <t>2026-10-20 — Проверить журналом брака клиента.</t>
  </si>
  <si>
    <t>reject_frequency_stress</t>
  </si>
  <si>
    <t>Отклонённые замесы — стресс-сценарий</t>
  </si>
  <si>
    <t>2026-10-20 — Верхний сценарий, не прогноз фактической частоты.</t>
  </si>
  <si>
    <t>loss_share_without_base</t>
  </si>
  <si>
    <t>Потери сырьевой стоимости без системы — база</t>
  </si>
  <si>
    <t>2026-10-20 — Заменить фактическим исходом текущей ручной коррекции/утилизации.</t>
  </si>
  <si>
    <t>loss_share_without_stress</t>
  </si>
  <si>
    <t>Потери сырьевой стоимости без системы — стресс</t>
  </si>
  <si>
    <t>2026-10-20 — Стресс: теряется вся расчётная сырьевая стоимость замеса.</t>
  </si>
  <si>
    <t>salvage_share_base</t>
  </si>
  <si>
    <t>Доля потерь, предотвращаемая коррекцией — база</t>
  </si>
  <si>
    <t>2026-10-20 — Проверить в пилоте; система рекомендует коррекцию, но не управляет оборудованием.</t>
  </si>
  <si>
    <t>salvage_share_stress</t>
  </si>
  <si>
    <t>Доля потерь, предотвращаемая коррекцией — стресс</t>
  </si>
  <si>
    <t>2026-10-20 — Пониженная эффективность коррекции в стрессе.</t>
  </si>
  <si>
    <t>manual_correction_share_base</t>
  </si>
  <si>
    <t>Доля отклонений, исправляемых вручную без сервиса — база</t>
  </si>
  <si>
    <t>допущение пилота — Сценарное допущение после проверки модели; не измерено</t>
  </si>
  <si>
    <t>2026-10-20 — Предполагает, что технолог уже исправляет 80% событий смешиванием/следующим замесом; заменяется долей по журналу пилота. Эффект сервиса считается только на оставшейся доле.</t>
  </si>
  <si>
    <t>manual_correction_share_stress</t>
  </si>
  <si>
    <t>Доля отклонений, исправляемых вручную без сервиса — стресс</t>
  </si>
  <si>
    <t>2026-10-20 — Стрессовый сценарий: 98% событий уже исправляется вручную без сервиса; значение не подтверждено и выбрано как adverse sensitivity.</t>
  </si>
  <si>
    <t>raw_cost_sensitivity_low</t>
  </si>
  <si>
    <t>Стоимость сырья на замес — нижняя чувствительность</t>
  </si>
  <si>
    <t>₽/замес</t>
  </si>
  <si>
    <t>точка чувствительности, не факт — материалы команды, аудиторская точка порога</t>
  </si>
  <si>
    <t>2026-10-20 — Не прогноз: аудиторская оценка границы нулевого чистого эффекта в прежней модели.</t>
  </si>
  <si>
    <t>raw_cost_sensitivity_jury</t>
  </si>
  <si>
    <t>Стоимость сырья на замес — стрессовая точка</t>
  </si>
  <si>
    <t>точка чувствительности, не факт — материалы команды; источник не предоставлен</t>
  </si>
  <si>
    <t>2026-10-20 — 65 000 ₽ использовано только как точка чувствительности; источника у этой оценки нет.</t>
  </si>
  <si>
    <t>sam_moscow_mo_narrow_count</t>
  </si>
  <si>
    <t>SAM узкий Москва + МО — именной список материалы команды (жидкие и эмульсионные замесы)</t>
  </si>
  <si>
    <t>компаний</t>
  </si>
  <si>
    <t>именной список; нижний предел, не перепись региона — материалы команды; список из 20 строк проверен командой вручную (4 компании открыты вживую); 7 производителей сухих специй и 2 со смешанным профилем вне SAM</t>
  </si>
  <si>
    <t>2026-10-20 — Ограничение узкого рынка 11 компаний действует в годах 1–2. SOM 3/3/6 даёт 12 накопленных аккаунтов к Y3: 11 из узкого SAM и 1 из смежного сегмента, то есть SOM исчерпывает именной SAM; рост в Y3–Y5 (12, 18 и 24 накопленных) и сценарий C требуют широкого сегмента, неподтверждённого прокси.</t>
  </si>
  <si>
    <t>sam_moscow_mo_wide_count</t>
  </si>
  <si>
    <t>SAM широкий Москва + МО</t>
  </si>
  <si>
    <t>не подтверждён — сценарный прокси — материалы команды</t>
  </si>
  <si>
    <t>2026-10-20 — Сценарий смежных пищевых производств; не подтверждён именным списком и не равен узкому SAM.</t>
  </si>
  <si>
    <t>pilot_duration_min_weeks</t>
  </si>
  <si>
    <t>Длительность пилота — минимум</t>
  </si>
  <si>
    <t>недели</t>
  </si>
  <si>
    <t>план пилота — материалы команды</t>
  </si>
  <si>
    <t>2026-10-20 — Согласовано с длительностью 4–6 недель в плане пилота; не два месяца фактической работы.</t>
  </si>
  <si>
    <t>pilot_duration_max_weeks</t>
  </si>
  <si>
    <t>Длительность пилота — максимум</t>
  </si>
  <si>
    <t>2026-10-20 — Бюджетный блок резервирует два календарных месяца, чтобы консервативно покрыть 4–6 недель.</t>
  </si>
  <si>
    <t>pilot_attempts_per_paid_customer</t>
  </si>
  <si>
    <t>Пилотов на платную сделку — базовая конверсия 1/2</t>
  </si>
  <si>
    <t>пилотов/клиент</t>
  </si>
  <si>
    <t>допущение — измерить в пилоте — Допущение сценария по решению команды; текущий расчёт показывает 3 демонстрации/пилота на 1 сделку</t>
  </si>
  <si>
    <t>2026-10-20 — Базовая конверсия 1 платный клиент на 2 пилотных слота; чувствительности: 1/1 и 1/3. Полевой труд CAC — 20 ч на пилот; бюджетный этап пилота остаётся 2 месяца.</t>
  </si>
  <si>
    <t>team_pilot_hours_year1</t>
  </si>
  <si>
    <t>Мощность команды на пилоты — год 1</t>
  </si>
  <si>
    <t>ч/год</t>
  </si>
  <si>
    <t>плановая мощность — материалы команды: 384 ч команды × 31,25%</t>
  </si>
  <si>
    <t>2026-10-20 — Расчётная доля часов команды, не подтверждённый календарь.</t>
  </si>
  <si>
    <t>team_pilot_hours_year2</t>
  </si>
  <si>
    <t>Мощность команды на пилоты — год 2</t>
  </si>
  <si>
    <t>плановая мощность по сценарию — материалы команды; 6 слотов × 20 ч по решению команды</t>
  </si>
  <si>
    <t>2026-10-20 — Шесть пилотных слотов по 20 полевых часов; не подтверждённый календарь.</t>
  </si>
  <si>
    <t>team_pilot_hours_year3</t>
  </si>
  <si>
    <t>Мощность команды на пилоты — год 3+</t>
  </si>
  <si>
    <t>плановая мощность по сценарию — материалы команды; 12 слотов × 20 ч по решению команды</t>
  </si>
  <si>
    <t>2026-10-20 — Двенадцать пилотных слотов по 20 полевых часов; в годах 4–5 используется как непроверенная экстраполяция.</t>
  </si>
  <si>
    <t>team_implementation_hours_year1</t>
  </si>
  <si>
    <t>Мощность команды на внедрения — год 1</t>
  </si>
  <si>
    <t>2026-10-20 — Проверяется по внедрению 20 ч/клиент; не подтверждённый календарь.</t>
  </si>
  <si>
    <t>team_implementation_hours_year2</t>
  </si>
  <si>
    <t>Мощность команды на внедрения — год 2</t>
  </si>
  <si>
    <t>плановая мощность по сценарию — материалы команды; 6 аккаунтов × 20 ч по решению команды</t>
  </si>
  <si>
    <t>2026-10-20 — Шесть слотов по 20 ч внедрения; не подтверждённый календарь.</t>
  </si>
  <si>
    <t>team_implementation_hours_year3</t>
  </si>
  <si>
    <t>Мощность команды на внедрения — год 3+</t>
  </si>
  <si>
    <t>плановая мощность по сценарию — материалы команды; 12 аккаунтов × 20 ч по решению команды</t>
  </si>
  <si>
    <t>2026-10-20 — Двенадцать слотов по 20 ч внедрения; в годах 4–5 продолжение не подтверждено.</t>
  </si>
  <si>
    <t>team_support_hours_year1</t>
  </si>
  <si>
    <t>Мощность команды на поддержку — год 1</t>
  </si>
  <si>
    <t>плановая мощность — материалы команды: 384 ч команды × 37,5%</t>
  </si>
  <si>
    <t>2026-10-20 — Эквивалент 6 аккаунтов по 24 ч/год; не подтверждённый календарь.</t>
  </si>
  <si>
    <t>team_support_hours_year2</t>
  </si>
  <si>
    <t>Мощность команды на поддержку — год 2</t>
  </si>
  <si>
    <t>плановая мощность — материалы команды: 768 ч команды × 37,5%</t>
  </si>
  <si>
    <t>2026-10-20 — Эквивалент 12 аккаунтов по 24 ч/год; не подтверждённый календарь.</t>
  </si>
  <si>
    <t>team_support_hours_year3</t>
  </si>
  <si>
    <t>Мощность команды на поддержку — год 3+</t>
  </si>
  <si>
    <t>плановая мощность — материалы команды: 1536 ч команды × 37,5%</t>
  </si>
  <si>
    <t>2026-10-20 — В годах 4–5 используется как неизменный сценарный уровень; продолжение темпа не подтверждено.</t>
  </si>
  <si>
    <t>customer_equipment_cost</t>
  </si>
  <si>
    <t>Оборудование цеха для ввода и маркировки</t>
  </si>
  <si>
    <t>не оценена</t>
  </si>
  <si>
    <t>стоимость</t>
  </si>
  <si>
    <t>не оценена — материалы команды; источника цены нет</t>
  </si>
  <si>
    <t>2026-10-20 — Не включено в чистый эффект/расходы проекта; требуется выбрать устройство, защиту и подтвердить цену по требованиям предприятия.</t>
  </si>
  <si>
    <t>sales_contacts_year3_monthly</t>
  </si>
  <si>
    <t>Тёплые контакты/реферальные интро в месяц — год 3+</t>
  </si>
  <si>
    <t>контактов/мес</t>
  </si>
  <si>
    <t>допущение воронки — Сценарное расширение воронки для роста после материалов команды</t>
  </si>
  <si>
    <t>2026-10-20 — Продолжение темпа после года 3 не подтверждено; итоговые сделки всё равно ограничены часами команды и SAM.</t>
  </si>
  <si>
    <t>sales_meetings_year3_monthly</t>
  </si>
  <si>
    <t>Встречи продаж в месяц — год 3+</t>
  </si>
  <si>
    <t>встреч/мес</t>
  </si>
  <si>
    <t>2026-10-20 — Продолжение темпа после года 3 не подтверждено.</t>
  </si>
  <si>
    <t>sales_demos_year3_monthly</t>
  </si>
  <si>
    <t>Демонстрации/пилоты в месяц — год 3+</t>
  </si>
  <si>
    <t>демо/мес</t>
  </si>
  <si>
    <t>2026-10-20 — Плановый спрос на пилоты ограничивается почасовой мощностью команды.</t>
  </si>
  <si>
    <t>sales_wins_year3_monthly</t>
  </si>
  <si>
    <t>Желаемые платные сделки в месяц — год 3+</t>
  </si>
  <si>
    <t>клиентов/мес</t>
  </si>
  <si>
    <t>допущение воронки — Сценарное расширение воронки; ограничение по материалам команды</t>
  </si>
  <si>
    <t>2026-10-20 — Верхний спросовой план; фактические продажи ограничены мощностью и размером SAM.</t>
  </si>
  <si>
    <t>pilot_hours_per_attempt</t>
  </si>
  <si>
    <t>Полевые часы команды на один пилот</t>
  </si>
  <si>
    <t>ч/пилот</t>
  </si>
  <si>
    <t>параметр мощности — материалы команды; решение команды: учитывать полевое окно в CAC</t>
  </si>
  <si>
    <t>2026-10-20 — 20 полевых часов на попытку для CAC; подготовка, сверка и отчёт остаются внутри двухмесячного бюджетного этапа и отдельно не оценены.</t>
  </si>
  <si>
    <t>pilot_to_customer_conversion_base</t>
  </si>
  <si>
    <t>Конверсия пилот → платный клиент — база</t>
  </si>
  <si>
    <t>клиентов/пилот</t>
  </si>
  <si>
    <t>допущение, не измерено — Допущение сценария по решению команды; проверяется пилотом</t>
  </si>
  <si>
    <t>2026-10-20 — Один платный аккаунт на два полевых пилота; оснований считать конверсию подтверждённой пока нет.</t>
  </si>
  <si>
    <t>pilot_to_customer_conversion_optimistic</t>
  </si>
  <si>
    <t>Конверсия пилот → платный клиент — оптимистичная точка</t>
  </si>
  <si>
    <t>чувствительность, не измерено — Верхняя граница по сценарию, решение команды</t>
  </si>
  <si>
    <t>2026-10-20 — Один пилотный слот на один платный аккаунт; не базовый прогноз.</t>
  </si>
  <si>
    <t>pilot_to_customer_conversion_conservative</t>
  </si>
  <si>
    <t>Конверсия пилот → платный клиент — консервативная точка</t>
  </si>
  <si>
    <t>допущение, не измерено — Текущая воронка: 3 демонстрации/пилота на 1 платного клиента</t>
  </si>
  <si>
    <t>2026-10-20 — Одна платная сделка на три пилотных слота; нижняя точка для CAC/продаж.</t>
  </si>
  <si>
    <t>pilot_slots_year1</t>
  </si>
  <si>
    <t>Пилотные слоты — год 1</t>
  </si>
  <si>
    <t>пилотов/год</t>
  </si>
  <si>
    <t>сценарная мощность — материалы команды; решение команды для расчёта</t>
  </si>
  <si>
    <t>2026-10-20 — Верхняя мощность при 20 полевых часах на слот; базовые платные аккаунты при конверсии 1/2 — 3.</t>
  </si>
  <si>
    <t>pilot_slots_year2</t>
  </si>
  <si>
    <t>Пилотные слоты — год 2</t>
  </si>
  <si>
    <t>pilot_slots_year3</t>
  </si>
  <si>
    <t>Пилотные слоты — год 3+</t>
  </si>
  <si>
    <t>2026-10-20 — Верхняя мощность при 20 полевых часах на слот; базовые платные аккаунты при конверсии 1/2 — 6.</t>
  </si>
  <si>
    <t>team_total_hours_year1</t>
  </si>
  <si>
    <t>Общая мощность команды — год 1</t>
  </si>
  <si>
    <t>плановая мощность — материалы команды</t>
  </si>
  <si>
    <t>2026-10-20 — 4 участника × 2 ч/нед. × 48 недель; сценарная доступность, не календарь.</t>
  </si>
  <si>
    <t>team_total_hours_year2</t>
  </si>
  <si>
    <t>Общая мощность команды — год 2</t>
  </si>
  <si>
    <t>2026-10-20 — 4 участника × 4 ч/нед. × 48 недель; сценарная доступность, не календарь.</t>
  </si>
  <si>
    <t>team_total_hours_year3</t>
  </si>
  <si>
    <t>Общая мощность команды — год 3+</t>
  </si>
  <si>
    <t>2026-10-20 — 4 участника × 8 ч/нед. × 48 недель; сценарная доступность, не календарь.</t>
  </si>
  <si>
    <t>lean_founder_pay_start_clients</t>
  </si>
  <si>
    <t>Клиентов до выплат основателям — бережливый сценарий</t>
  </si>
  <si>
    <t>активных аккаунтов</t>
  </si>
  <si>
    <t>допущение сценария B — Сценарное допущение, численное значение согласовать</t>
  </si>
  <si>
    <t>2026-10-20 — Предварительный порог N; выплаты включаются со следующего месяца после достижения N.</t>
  </si>
  <si>
    <t>lean_founder_payroll_pool_monthly</t>
  </si>
  <si>
    <t>Фонд выплат основателям после порога N</t>
  </si>
  <si>
    <t>₽/мес</t>
  </si>
  <si>
    <t>допущение сценария B — Сценарное допущение: 4 участника × 50 000 ₽/мес.</t>
  </si>
  <si>
    <t>2026-10-20 — Не зарплатный ориентир и не подтверждённое обязательство; изменить после согласования владельца.</t>
  </si>
  <si>
    <t>lean_support_cost_monthly</t>
  </si>
  <si>
    <t>Поддержка на аккаунт — бережливый сценарий</t>
  </si>
  <si>
    <t>₽/клиент/мес</t>
  </si>
  <si>
    <t>допущение сценария B — Сценарное допущение: половина текущего бюджета поддержки</t>
  </si>
  <si>
    <t>2026-10-20 — Вдвое меньше текущих 5 000 ₽/мес.; требует проверки часов и качества поддержки.</t>
  </si>
  <si>
    <t>lean_support_hours_per_customer_year</t>
  </si>
  <si>
    <t>Часы поддержки на аккаунт — бережливый сценарий</t>
  </si>
  <si>
    <t>ч/клиент/год</t>
  </si>
  <si>
    <t>допущение сценария B — Сценарное допущение: половина текущих 24 ч/год</t>
  </si>
  <si>
    <t>2026-10-20 — Освобождает командную мощность относительно полного пакета поддержки; не подтверждённый SLA.</t>
  </si>
  <si>
    <t>pilot_duration_wording</t>
  </si>
  <si>
    <t>Согласованная формулировка длительности пилота</t>
  </si>
  <si>
    <t>полевое окно пилота 4–6 недель внутри двухмесячного бюджетного этапа: подготовка, поле, сверка и отчёт</t>
  </si>
  <si>
    <t>текст</t>
  </si>
  <si>
    <t>утверждённая формулировка — Решение команды</t>
  </si>
  <si>
    <t>2026-10-20 — Использовать формулировку дословно.</t>
  </si>
  <si>
    <t>team_hours_per_customer_support_year</t>
  </si>
  <si>
    <t>Часы поддержки на аккаунт в год</t>
  </si>
  <si>
    <t>параметр мощности — материалы команды</t>
  </si>
  <si>
    <t>2026-10-20 — Расчёт: 5 000 ₽/мес. поддержки ÷ 2 500 ₽/ч = 2 ч/мес.; проверяется пилотом.</t>
  </si>
  <si>
    <t>som_new_accounts_year1</t>
  </si>
  <si>
    <t>Верхний предел новых платных аккаунтов при конверсии 1/1 — год 1</t>
  </si>
  <si>
    <t>аккаунтов/год</t>
  </si>
  <si>
    <t>верхний предел мощности, не базовый SOM — материалы команды; решение команды для расчёта</t>
  </si>
  <si>
    <t>2026-10-20 — Шесть пилотных слотов — максимум 6 платных аккаунтов при 1/1; базовая 1/2 даёт 3, которые использует расчёт.</t>
  </si>
  <si>
    <t>som_new_accounts_year2</t>
  </si>
  <si>
    <t>Верхний предел новых платных аккаунтов при конверсии 1/1 — год 2</t>
  </si>
  <si>
    <t>2026-10-20 — Шесть доступных пилотных слотов; базовая конверсия 1/2 даёт 3 платных аккаунта за год.</t>
  </si>
  <si>
    <t>som_new_accounts_year3</t>
  </si>
  <si>
    <t>Верхний предел новых платных аккаунтов при конверсии 1/1 — год 3+</t>
  </si>
  <si>
    <t>2026-10-20 — Двенадцать пилотных слотов — максимум при 1/1; базовая конверсия 1/2 даёт 6 новых клиентов. Продолжение темпа в годах 4–5 не подтверждено.</t>
  </si>
  <si>
    <t>sensitivity_frequency_min</t>
  </si>
  <si>
    <t>Частота событий — минимум чувствительности</t>
  </si>
  <si>
    <t>граница сценария — материалы команды</t>
  </si>
  <si>
    <t>2026-10-20 — Нулевые события дают нулевой эффект; подписка и расходы клиента остаются.</t>
  </si>
  <si>
    <t>sensitivity_frequency_max</t>
  </si>
  <si>
    <t>Частота событий — максимум чувствительности</t>
  </si>
  <si>
    <t>2026-10-20 — Задан верхний край диапазона чувствительности, не частотный прогноз.</t>
  </si>
  <si>
    <t>loss_share_sensitivity_low</t>
  </si>
  <si>
    <t>Доля потерь — нижняя чувствительность</t>
  </si>
  <si>
    <t>точка чувствительности, не факт — материалы команды</t>
  </si>
  <si>
    <t>2026-10-20 — Промежуточная сценарная точка; проверить фактическим журналом брака.</t>
  </si>
  <si>
    <t>loss_share_sensitivity_high</t>
  </si>
  <si>
    <t>Доля потерь — верхняя чувствительность</t>
  </si>
  <si>
    <t>2026-10-20 — Верхняя сценарная граница, не измерение.</t>
  </si>
  <si>
    <t>salvage_share_sensitivity_low</t>
  </si>
  <si>
    <t>Доля спасения сервисом — нижняя чувствительность</t>
  </si>
  <si>
    <t>точка чувствительности, не факт — материалы команды; стрессовый параметр</t>
  </si>
  <si>
    <t>2026-10-20 — Нижняя сценарная точка.</t>
  </si>
  <si>
    <t>salvage_share_sensitivity_high</t>
  </si>
  <si>
    <t>Доля спасения сервисом — верхняя чувствительность</t>
  </si>
  <si>
    <t>2026-10-20 — Верхняя граница диапазона, не измерение.</t>
  </si>
  <si>
    <t>manual_recovery_sensitivity_min</t>
  </si>
  <si>
    <t>Доля ручного исправления — нижняя чувствительность</t>
  </si>
  <si>
    <t>2026-10-20 — Нижняя граница соответствует отсутствию ручных исправлений; сравнение показывает зависимость эффекта от обхода.</t>
  </si>
  <si>
    <t>pilot_attempts_per_paid_customer_audit</t>
  </si>
  <si>
    <t>Пилотов на платную сделку — аудиторская точка</t>
  </si>
  <si>
    <t>чувствительность, не базовый план — материалы команды, пересчёт CAC с тремя пилотами по 20 ч</t>
  </si>
  <si>
    <t>2026-10-20 — Точка даёт CAC 238 750 ₽ при 1 платном клиенте/мес., но не помещается в план мощности: 36 пилотов/год против 6/12/24 слотов.</t>
  </si>
  <si>
    <t>diagnosis_hours_without_base</t>
  </si>
  <si>
    <t>Часы поиска причины без системы — база</t>
  </si>
  <si>
    <t>ч/событие</t>
  </si>
  <si>
    <t>2026-10-20 — Проверить хронометражем.</t>
  </si>
  <si>
    <t>diagnosis_hours_with_base</t>
  </si>
  <si>
    <t>Часы поиска причины с системой — база</t>
  </si>
  <si>
    <t>2026-10-20 — Поиск партии и решение о коррекции.</t>
  </si>
  <si>
    <t>diagnosis_hours_without_stress</t>
  </si>
  <si>
    <t>Часы поиска причины без системы — стресс</t>
  </si>
  <si>
    <t>2026-10-20 — Стрессовое время ручного разбора.</t>
  </si>
  <si>
    <t>diagnosis_hours_with_stress</t>
  </si>
  <si>
    <t>Часы поиска причины с системой — стресс</t>
  </si>
  <si>
    <t>2026-10-20 — Стрессовое время поиска и решения с системой.</t>
  </si>
  <si>
    <t>disposal_cost_per_kg_base</t>
  </si>
  <si>
    <t>Обработка/утилизация потерянного продукта — база</t>
  </si>
  <si>
    <t>2026-10-20 — Денежный прокси, не тариф подрядчика; проверить у предприятия.</t>
  </si>
  <si>
    <t>disposal_cost_per_kg_stress</t>
  </si>
  <si>
    <t>Обработка/утилизация потерянного продукта — стресс</t>
  </si>
  <si>
    <t>2026-10-20 — Стрессовый прокси, не подтверждённый тариф.</t>
  </si>
  <si>
    <t>correction_cost_share_base</t>
  </si>
  <si>
    <t>Дополнительная стоимость коррекции — база</t>
  </si>
  <si>
    <t>2026-10-20 — Доля сырьевой стоимости спасённой части на дополнительные ингредиенты/операции.</t>
  </si>
  <si>
    <t>correction_cost_share_stress</t>
  </si>
  <si>
    <t>Дополнительная стоимость коррекции — стресс</t>
  </si>
  <si>
    <t>2026-10-20 — Стрессовый уровень дополнительных расходов на коррекцию.</t>
  </si>
  <si>
    <t>subscription_price_monthly</t>
  </si>
  <si>
    <t>Выбранная цена подписки</t>
  </si>
  <si>
    <t>параметр пилота — параметр пилота; сопоставление с ценой 40 000 ₽ и открытыми лицензиями — материалы команды</t>
  </si>
  <si>
    <t>2026-10-20 — Выбрана как более осторожная цена: годовая подписка 300 000 ₽ — 55,6% базового эффекта сверх ручного обхода (539 439 ₽ в год), окупается при 1,11 события в месяц; оставляет ценовой запас и снижает барьер при неизвестном SAM/WTP.</t>
  </si>
  <si>
    <t>subscription_price_alt_monthly</t>
  </si>
  <si>
    <t>Сравниваемая альтернативная цена</t>
  </si>
  <si>
    <t>параметр пилота — параметр пилота; ценностный потолок рассчитан от эффекта клиента</t>
  </si>
  <si>
    <t>2026-10-20 — Годовая цена 480 000 ₽ — 89,0% от базового эффекта сверх ручного обхода 539 439 ₽ (до внедрения и расходов клиента); чистый эффект года 1 при такой цене — −51 792 ₽.</t>
  </si>
  <si>
    <t>implementation_fee</t>
  </si>
  <si>
    <t>Разовое внедрение для клиента</t>
  </si>
  <si>
    <t>₽/клиент</t>
  </si>
  <si>
    <t>2026-10-20 — Цена первичной настройки, маркировки и обучения.</t>
  </si>
  <si>
    <t>customer_labeling_materials</t>
  </si>
  <si>
    <t>Внутренние расходы клиента на маркировку мешков</t>
  </si>
  <si>
    <t>₽/внедрение</t>
  </si>
  <si>
    <t>2026-10-20 — Стартовые этикетки/идентификаторы и расходники.</t>
  </si>
  <si>
    <t>customer_training_hours</t>
  </si>
  <si>
    <t>Время сотрудников клиента на обучение</t>
  </si>
  <si>
    <t>ч/внедрение</t>
  </si>
  <si>
    <t>2026-10-20 — Совокупные часы участников обучения.</t>
  </si>
  <si>
    <t>project_delivery_hours</t>
  </si>
  <si>
    <t>Часы команды проекта на внедрение</t>
  </si>
  <si>
    <t>ч/клиент</t>
  </si>
  <si>
    <t>2026-10-20 — Настройка справочников, маркировка, обучение и запуск.</t>
  </si>
  <si>
    <t>project_loaded_hour_cost</t>
  </si>
  <si>
    <t>Полная стоимость часа внедрения</t>
  </si>
  <si>
    <t>₽/ч</t>
  </si>
  <si>
    <t>2026-10-20 — Плановый cost rate исполнителя внедрения.</t>
  </si>
  <si>
    <t>project_labeling_materials_cost</t>
  </si>
  <si>
    <t>Материалы проекта на внедрение</t>
  </si>
  <si>
    <t>2026-10-20 — Стартовый комплект маркировки со стороны проекта.</t>
  </si>
  <si>
    <t>support_cost_monthly</t>
  </si>
  <si>
    <t>Поддержка одного клиента</t>
  </si>
  <si>
    <t>2026-10-20 — Плановая переменная поддержка; проверить по пилотным обращениям.</t>
  </si>
  <si>
    <t>customer_lifetime_months</t>
  </si>
  <si>
    <t>Срок жизни клиента</t>
  </si>
  <si>
    <t>мес</t>
  </si>
  <si>
    <t>2026-10-20 — Гипотеза удержания, не подтверждённая когортами.</t>
  </si>
  <si>
    <t>candidate_pool_national_okved1084</t>
  </si>
  <si>
    <t>Кандидатный пул РФ по ОКВЭД 10.84</t>
  </si>
  <si>
    <t>организаций</t>
  </si>
  <si>
    <t>публичный широкий ориентир — https://www.rusprofile.ru/codes/108400; оценка и ограничения разобраны в материалах команды</t>
  </si>
  <si>
    <t>2026-10-20 — Список не является переписью активных/подходящих покупателей; код включает приправы, уксус и соль. Не TAM и не SAM.</t>
  </si>
  <si>
    <t>cloud_hours_month</t>
  </si>
  <si>
    <t>Часов в 30-дневном месяце для тарификации</t>
  </si>
  <si>
    <t>расчётное допущение — параметр расчёта Yandex Cloud: 30 дней × 24 ч; тариф списывается по времени использования</t>
  </si>
  <si>
    <t>2026-10-20 — Использовано только для планового сравнения тарифов, фактическая работа/выключения изменят счёт.</t>
  </si>
  <si>
    <t>cloud_vcpu_20_rate_hour</t>
  </si>
  <si>
    <t>Yandex Cloud vCPU 20%</t>
  </si>
  <si>
    <t>₽/vCPU·ч</t>
  </si>
  <si>
    <t>публичный тарифный ориентир — https://yandex.cloud/ru/docs/compute/pricing — пример тарификации 2 × 20% vCPU и 2 ГБ RAM</t>
  </si>
  <si>
    <t>2026-10-20 — Цена региона Россия в опубликованном примере; зависит от платформы/конфигурации.</t>
  </si>
  <si>
    <t>cloud_vcpu_100_rate_hour</t>
  </si>
  <si>
    <t>Yandex Cloud vCPU 100%</t>
  </si>
  <si>
    <t>публичный тарифный ориентир — https://yandex.cloud/ru/docs/compute/pricing — пример тарификации 2 × 100% vCPU и 2 ГБ RAM</t>
  </si>
  <si>
    <t>cloud_ram_rate_gb_hour</t>
  </si>
  <si>
    <t>Yandex Cloud RAM</t>
  </si>
  <si>
    <t>₽/ГБ·ч</t>
  </si>
  <si>
    <t>публичный тарифный ориентир — https://yandex.cloud/ru/docs/compute/pricing — пример тарификации VM в регионе Россия</t>
  </si>
  <si>
    <t>2026-10-20 — Не включает VM-диск, IP, БД, резервные копии и другие компоненты.</t>
  </si>
  <si>
    <t>cloud_ssd_rate_gb_hour</t>
  </si>
  <si>
    <t>Yandex Cloud быстрый SSD</t>
  </si>
  <si>
    <t>публичный тариф — https://docs.yandex.cloud/ru/ru/compute/pricing.md — прайс, быстрый SSD, действует с 30.04.2026</t>
  </si>
  <si>
    <t>2026-10-20 — Блочный диск тарифицируется отдельно от запущенной VM.</t>
  </si>
  <si>
    <t>domain_registration_fee</t>
  </si>
  <si>
    <t>Регистрация домена .RU</t>
  </si>
  <si>
    <t>₽/год</t>
  </si>
  <si>
    <t>публичный тариф — https://beget.com/ru/news/2025/izmenenie-czen-na-domeny-ru-i-rf-s-1-yanvarya-2026 — тариф с 01.01.2026</t>
  </si>
  <si>
    <t>2026-10-20 — Плановая стартовая регистрация; возможны скидки.</t>
  </si>
  <si>
    <t>domain_renewal_fee</t>
  </si>
  <si>
    <t>Продление домена .RU</t>
  </si>
  <si>
    <t>2026-10-20 — Для второго года модели.</t>
  </si>
  <si>
    <t>developer_salary_monthly_gross</t>
  </si>
  <si>
    <t>Полная месячная зарплата Python-разработчика</t>
  </si>
  <si>
    <t>публичный ориентир hh.ru — https://hh.ru/vacancy/132386984 — выдача hh.ru показывала «от 200 000 ₽/мес» для Middle Backend Python в Москве; архив вакансии от 20.06.2026</t>
  </si>
  <si>
    <t>2026-10-20 — В расчёте взята нижняя граница полной занятости; частичная занятость считается пропорционально FTE. Архивная страница может не показывать зарплату напрямую.</t>
  </si>
  <si>
    <t>sales_salary_monthly_gross</t>
  </si>
  <si>
    <t>Полная месячная зарплата B2B-продавца промышленного оборудования</t>
  </si>
  <si>
    <t>публичный ориентир hh.ru — https://hh.ru/vacancy/131215702 — выдача hh.ru показывала «от 150 000 ₽/мес»; Москва, B2B промышленное оборудование, архив от 12.04.2026</t>
  </si>
  <si>
    <t>2026-10-20 — Зарплатный ориентир из выдачи hh.ru; продажа промышленного ПО может отличаться.</t>
  </si>
  <si>
    <t>employer_cost_factor</t>
  </si>
  <si>
    <t>Множитель полной стоимости труда над окладом</t>
  </si>
  <si>
    <t>множитель</t>
  </si>
  <si>
    <t>2026-10-20 — Плановый буфер к gross-окладу на нагрузку работодателя; не расчёт налогов или юридическая ставка.</t>
  </si>
  <si>
    <t>sales_commission_rate</t>
  </si>
  <si>
    <t>Комиссия за продажу от годовой подписки</t>
  </si>
  <si>
    <t>доля выручки 1-го года</t>
  </si>
  <si>
    <t>2026-10-20 — Переменная часть CAC, проверить с каналом и командой.</t>
  </si>
  <si>
    <t>sales_contacts_year1_monthly</t>
  </si>
  <si>
    <t>Тёплые контакты/реферальные интро в месяц — год 1</t>
  </si>
  <si>
    <t>2026-10-20 — Воронка-гипотеза: 20 контактов → 6 встреч → 3 демонстрации/пилота → 1 платный клиент в месяц.</t>
  </si>
  <si>
    <t>sales_meetings_year1_monthly</t>
  </si>
  <si>
    <t>Встречи продаж в месяц — год 1</t>
  </si>
  <si>
    <t>2026-10-20 — Гипотеза конверсии из 20 тёплых интро.</t>
  </si>
  <si>
    <t>sales_demos_year1_monthly</t>
  </si>
  <si>
    <t>Демонстрации/пилоты в месяц — год 1</t>
  </si>
  <si>
    <t>2026-10-20 — Гипотеза конверсии из встреч.</t>
  </si>
  <si>
    <t>sales_wins_year1_monthly</t>
  </si>
  <si>
    <t>Платные клиенты — базовая воронка, год 1</t>
  </si>
  <si>
    <t>клиент/мес</t>
  </si>
  <si>
    <t>сценарная мощность — конверсия не измерена — Допущение: 6 пилотных слотов × конверсия 1/2 ÷ 12</t>
  </si>
  <si>
    <t>2026-10-20 — Ожидание 3 платных аккаунтов за год 1; считать по 2 пилота на продажу, не по верхнему SAM-потолку 6.</t>
  </si>
  <si>
    <t>sales_fte_year1</t>
  </si>
  <si>
    <t>Занятость B2B-продавца — год 1</t>
  </si>
  <si>
    <t>FTE</t>
  </si>
  <si>
    <t>2026-10-20 — Часть рабочего времени на тёплый аутрич, встречи и отраслевые мероприятия.</t>
  </si>
  <si>
    <t>sales_channel_budget_year1_monthly</t>
  </si>
  <si>
    <t>Канал продаж: поездки/отраслевые встречи — год 1</t>
  </si>
  <si>
    <t>2026-10-20 — Бюджет на поездки, встречи и участие/посещение отраслевых мероприятий; не рекламный прайс.</t>
  </si>
  <si>
    <t>sales_contacts_year2_monthly</t>
  </si>
  <si>
    <t>Тёплые контакты/реферальные интро в месяц — год 2</t>
  </si>
  <si>
    <t>2026-10-20 — Двойная воронка-гипотеза: 40 контактов → 12 встреч → 6 демонстраций/пилотов → 2 платных клиента в месяц.</t>
  </si>
  <si>
    <t>sales_meetings_year2_monthly</t>
  </si>
  <si>
    <t>Встречи продаж в месяц — год 2</t>
  </si>
  <si>
    <t>2026-10-20 — Гипотеза конверсии из 40 тёплых интро.</t>
  </si>
  <si>
    <t>sales_demos_year2_monthly</t>
  </si>
  <si>
    <t>Демонстрации/пилоты в месяц — год 2</t>
  </si>
  <si>
    <t>sales_wins_year2_monthly</t>
  </si>
  <si>
    <t>Платные клиенты — базовая воронка, год 2</t>
  </si>
  <si>
    <t>2026-10-20 — Ожидание 3 платных аккаунтов за год 2; считать по 2 пилота на продажу, не по верхнему SAM-потолку 6.</t>
  </si>
  <si>
    <t>sales_fte_year2</t>
  </si>
  <si>
    <t>Занятость B2B-продавца — год 2</t>
  </si>
  <si>
    <t>2026-10-20 — Часть рабочего времени, доля зарплаты включена в CAC по выигранным клиентам.</t>
  </si>
  <si>
    <t>sales_channel_budget_year2_monthly</t>
  </si>
  <si>
    <t>Канал продаж: поездки/отраслевые встречи — год 2</t>
  </si>
  <si>
    <t>2026-10-20 — Бюджет на встречи и отраслевые мероприятия; делится на число клиентов по воронке.</t>
  </si>
  <si>
    <t>pilot_months</t>
  </si>
  <si>
    <t>Бюджетный блок пилота</t>
  </si>
  <si>
    <t>бюджетный период — параметр планирования; длительность 4–6 недель по материалам команды</t>
  </si>
  <si>
    <t>2026-10-20 — В календарной модели пилот занимает 4–6 недель; два бюджетных месячных периода — консервативный резерв, не фактическая длительность пилота.</t>
  </si>
  <si>
    <t>pilot_vm_count</t>
  </si>
  <si>
    <t>VM пилота</t>
  </si>
  <si>
    <t>шт.</t>
  </si>
  <si>
    <t>2026-10-20 — Один небольшой сервер для тестовой версии.</t>
  </si>
  <si>
    <t>pilot_vcpu_count</t>
  </si>
  <si>
    <t>vCPU на VM пилота</t>
  </si>
  <si>
    <t>vCPU</t>
  </si>
  <si>
    <t>2026-10-20 — Конфигурация соответствует тарифному примеру Yandex Cloud.</t>
  </si>
  <si>
    <t>pilot_vcpu_rate_hour</t>
  </si>
  <si>
    <t>Тариф vCPU пилота</t>
  </si>
  <si>
    <t>публичный тарифный ориентир — https://yandex.cloud/ru/docs/compute/pricing — 20% vCPU</t>
  </si>
  <si>
    <t>2026-10-20 — VM тарифицируется за фактическое время работы.</t>
  </si>
  <si>
    <t>pilot_ram_gb</t>
  </si>
  <si>
    <t>RAM на VM пилота</t>
  </si>
  <si>
    <t>ГБ</t>
  </si>
  <si>
    <t>параметр пилота — параметр пилота; тарифный пример Yandex Cloud</t>
  </si>
  <si>
    <t>2026-10-20 — Минимальная конфигурация для демонстрации, не production-ёмкость.</t>
  </si>
  <si>
    <t>pilot_disk_gb</t>
  </si>
  <si>
    <t>Быстрый SSD пилота</t>
  </si>
  <si>
    <t>2026-10-20 — Объём для тестовых данных.</t>
  </si>
  <si>
    <t>pilot_cloud_buffer_monthly</t>
  </si>
  <si>
    <t>Резерв облака пилота: IP/БД/backup/monitoring</t>
  </si>
  <si>
    <t>параметр пилота — параметр пилота на основе раздельной тарификации Yandex Cloud</t>
  </si>
  <si>
    <t>2026-10-20 — Не коммерческое предложение; покрытия дополнительных компонентов/трафика до проверки конфигурации.</t>
  </si>
  <si>
    <t>pilot_tools_monthly</t>
  </si>
  <si>
    <t>Инструменты/операционные сервисы пилота</t>
  </si>
  <si>
    <t>2026-10-20 — Небольшой резерв на сервисы тестирования и эксплуатации.</t>
  </si>
  <si>
    <t>pilot_domain_onetime</t>
  </si>
  <si>
    <t>Стартовая регистрация домена .RU</t>
  </si>
  <si>
    <t>₽ разово</t>
  </si>
  <si>
    <t>публичный тариф — https://beget.com/ru/news/2025/izmenenie-czen-na-domeny-ru-i-rf-s-1-yanvarya-2026</t>
  </si>
  <si>
    <t>2026-10-20 — Включается один раз в стоимость пилота.</t>
  </si>
  <si>
    <t>mvp_months</t>
  </si>
  <si>
    <t>Длительность MVP</t>
  </si>
  <si>
    <t>2026-10-20 — Два месяца после пилота; этапы в бюджете считаются последовательно, без двойного счёта.</t>
  </si>
  <si>
    <t>mvp_developer_count</t>
  </si>
  <si>
    <t>Разработчики part-time MVP</t>
  </si>
  <si>
    <t>чел.</t>
  </si>
  <si>
    <t>2026-10-20 — Один разработчик на половине ставки.</t>
  </si>
  <si>
    <t>mvp_developer_fte_each</t>
  </si>
  <si>
    <t>Доля ставки разработчика MVP</t>
  </si>
  <si>
    <t>2026-10-20 — Половина полной занятости.</t>
  </si>
  <si>
    <t>mvp_vm_count</t>
  </si>
  <si>
    <t>VM MVP</t>
  </si>
  <si>
    <t>2026-10-20 — Один сервер для MVP.</t>
  </si>
  <si>
    <t>mvp_vcpu_count</t>
  </si>
  <si>
    <t>vCPU на VM MVP</t>
  </si>
  <si>
    <t>2026-10-20 — Расчётный тарифный профиль.</t>
  </si>
  <si>
    <t>mvp_vcpu_rate_hour</t>
  </si>
  <si>
    <t>Тариф vCPU MVP</t>
  </si>
  <si>
    <t>публичный тарифный ориентир — https://yandex.cloud/ru/docs/compute/pricing — 100% vCPU</t>
  </si>
  <si>
    <t>2026-10-20 — Профиль 100% vCPU.</t>
  </si>
  <si>
    <t>mvp_ram_gb</t>
  </si>
  <si>
    <t>RAM на VM MVP</t>
  </si>
  <si>
    <t>2026-10-20 — Расчётный профиль; проверить нагрузочным тестом.</t>
  </si>
  <si>
    <t>mvp_disk_gb</t>
  </si>
  <si>
    <t>Быстрый SSD MVP</t>
  </si>
  <si>
    <t>2026-10-20 — Расчётный профиль для MVP.</t>
  </si>
  <si>
    <t>mvp_cloud_buffer_monthly</t>
  </si>
  <si>
    <t>Резерв облака MVP: IP/БД/backup/monitoring</t>
  </si>
  <si>
    <t>2026-10-20 — Не счёт провайдера; уточнить конфигурацией.</t>
  </si>
  <si>
    <t>mvp_tools_monthly</t>
  </si>
  <si>
    <t>Инструменты/операционные сервисы MVP</t>
  </si>
  <si>
    <t>2026-10-20 — Сервисы контроля кода, тестирования и эксплуатации.</t>
  </si>
  <si>
    <t>mvp_new_clients_monthly</t>
  </si>
  <si>
    <t>Платные клиенты в месяц во время MVP</t>
  </si>
  <si>
    <t>этап до коммерческого запуска — параметр пилота</t>
  </si>
  <si>
    <t>2026-10-20 — Ноль здесь означает отсутствие коммерческой выручки по плану, не отсутствие спроса.</t>
  </si>
  <si>
    <t>growth1_months</t>
  </si>
  <si>
    <t>Длительность роста — год 1</t>
  </si>
  <si>
    <t>2026-10-20 — Первый год коммерческого роста после MVP.</t>
  </si>
  <si>
    <t>growth1_developer_count</t>
  </si>
  <si>
    <t>Разработчики part-time — год 1</t>
  </si>
  <si>
    <t>growth1_developer_fte_each</t>
  </si>
  <si>
    <t>Доля ставки разработчика — год 1</t>
  </si>
  <si>
    <t>growth1_vm_count</t>
  </si>
  <si>
    <t>VM — год 1</t>
  </si>
  <si>
    <t>2026-10-20 — Одна VM в базовом профиле; масштабировать при нагрузке.</t>
  </si>
  <si>
    <t>growth1_vcpu_count</t>
  </si>
  <si>
    <t>vCPU на VM — год 1</t>
  </si>
  <si>
    <t>2026-10-20 — Плановый профиль.</t>
  </si>
  <si>
    <t>growth1_vcpu_rate_hour</t>
  </si>
  <si>
    <t>Тариф vCPU — год 1</t>
  </si>
  <si>
    <t>growth1_ram_gb</t>
  </si>
  <si>
    <t>RAM на VM — год 1</t>
  </si>
  <si>
    <t>growth1_disk_gb</t>
  </si>
  <si>
    <t>Быстрый SSD — год 1</t>
  </si>
  <si>
    <t>2026-10-20 — Плановый объём данных и журналов.</t>
  </si>
  <si>
    <t>growth1_cloud_buffer_monthly</t>
  </si>
  <si>
    <t>Резерв облака год 1: IP/БД/backup/monitoring</t>
  </si>
  <si>
    <t>2026-10-20 — Не счёт провайдера; необходимо уточнить профиль и требования к данным.</t>
  </si>
  <si>
    <t>growth1_tools_monthly</t>
  </si>
  <si>
    <t>Инструменты/операционные сервисы — год 1</t>
  </si>
  <si>
    <t>2026-10-20 — Бюджет на мониторинг, тестирование, связь и операционные сервисы.</t>
  </si>
  <si>
    <t>growth1_new_clients_monthly</t>
  </si>
  <si>
    <t>Новые платные клиенты в месяц — год 1</t>
  </si>
  <si>
    <t>2026-10-20 — Ожидание 3 платных аккаунтов за год 1; дробное значение — математическое ожидание, не календарный контракт.</t>
  </si>
  <si>
    <t>growth1_sales_fte</t>
  </si>
  <si>
    <t>Доля занятости продавца — год 1</t>
  </si>
  <si>
    <t>2026-10-20 — Продавец B2B частично занят; его загруженная зарплата распределяется через CAC, не дублируется в fixed burn.</t>
  </si>
  <si>
    <t>growth1_channel_budget_monthly</t>
  </si>
  <si>
    <t>Бюджет продаж — год 1</t>
  </si>
  <si>
    <t>2026-10-20 — Транспорт, встречи и посещение отраслевых мероприятий; тёплые интро/рекомендации без покупки рекламы.</t>
  </si>
  <si>
    <t>growth2_months</t>
  </si>
  <si>
    <t>Длительность роста — год 2</t>
  </si>
  <si>
    <t>2026-10-20 — Второй год коммерческого роста.</t>
  </si>
  <si>
    <t>growth2_developer_count</t>
  </si>
  <si>
    <t>Разработчики part-time — год 2</t>
  </si>
  <si>
    <t>2026-10-20 — Два разработчика по половине ставки (1 FTE суммарно).</t>
  </si>
  <si>
    <t>growth2_developer_fte_each</t>
  </si>
  <si>
    <t>Доля ставки разработчика — год 2</t>
  </si>
  <si>
    <t>2026-10-20 — Половина полной занятости на каждого разработчика.</t>
  </si>
  <si>
    <t>growth2_vm_count</t>
  </si>
  <si>
    <t>VM — год 2</t>
  </si>
  <si>
    <t>2026-10-20 — Две VM под приложение и изолированный контур/резерв; пересмотреть по нагрузке.</t>
  </si>
  <si>
    <t>growth2_vcpu_count</t>
  </si>
  <si>
    <t>vCPU на VM — год 2</t>
  </si>
  <si>
    <t>growth2_vcpu_rate_hour</t>
  </si>
  <si>
    <t>Тариф vCPU — год 2</t>
  </si>
  <si>
    <t>growth2_ram_gb</t>
  </si>
  <si>
    <t>RAM на VM — год 2</t>
  </si>
  <si>
    <t>growth2_disk_gb</t>
  </si>
  <si>
    <t>Быстрый SSD — год 2</t>
  </si>
  <si>
    <t>2026-10-20 — Плановый суммарный объём двух контуров.</t>
  </si>
  <si>
    <t>growth2_cloud_buffer_monthly</t>
  </si>
  <si>
    <t>Резерв облака год 2: IP/БД/backup/monitoring</t>
  </si>
  <si>
    <t>2026-10-20 — Не счёт провайдера; увеличен на второй контур и дополнительные managed services.</t>
  </si>
  <si>
    <t>growth2_tools_monthly</t>
  </si>
  <si>
    <t>Инструменты/операционные сервисы — год 2</t>
  </si>
  <si>
    <t>2026-10-20 — Мониторинг, тестирование, коммуникации и прочие операционные инструменты.</t>
  </si>
  <si>
    <t>growth2_new_clients_monthly</t>
  </si>
  <si>
    <t>Новые платные клиенты в месяц — год 2</t>
  </si>
  <si>
    <t>2026-10-20 — Ожидание 3 платных аккаунтов за год 2; дробное значение — математическое ожидание, не календарный контракт.</t>
  </si>
  <si>
    <t>growth2_sales_fte</t>
  </si>
  <si>
    <t>Доля занятости продавца — год 2</t>
  </si>
  <si>
    <t>2026-10-20 — Занятость сохраняется; зарплата распределяется через CAC, без двойного счёта.</t>
  </si>
  <si>
    <t>growth2_channel_budget_monthly</t>
  </si>
  <si>
    <t>Бюджет продаж — год 2</t>
  </si>
  <si>
    <t>2026-10-20 — Транспорт, встречи и отраслевые мероприятия; рекомендации и тёплые интро.</t>
  </si>
  <si>
    <t>Экономика клиента — приращение к ручной коррекции</t>
  </si>
  <si>
    <t>Ручной обход уже спасает часть событий: база 80% и стресс 98% — непроверенные сценарные доли. Эффект сервиса считается только на оставшейся доле; сырьё, часы и обработка раскрыты отдельно.</t>
  </si>
  <si>
    <t>Сценарий</t>
  </si>
  <si>
    <t>Отклонений/мес</t>
  </si>
  <si>
    <t>Выпуск замеса, ₽</t>
  </si>
  <si>
    <t>Сырьё замеса, ₽</t>
  </si>
  <si>
    <t>Уже исправляется вручную</t>
  </si>
  <si>
    <t>Потери с ручным обходом / год, ₽</t>
  </si>
  <si>
    <t>Потери с сервисом / год, ₽</t>
  </si>
  <si>
    <t>Приращение: сырьё / год, ₽</t>
  </si>
  <si>
    <t>Приращение: время / год, ₽</t>
  </si>
  <si>
    <t>Приращение: обработка / год, ₽</t>
  </si>
  <si>
    <t>Эффект до подписки / год, ₽</t>
  </si>
  <si>
    <t>Подписка / год, ₽</t>
  </si>
  <si>
    <t>Внутренние расходы клиента, ₽</t>
  </si>
  <si>
    <t>Чистый эффект 1-й год, ₽</t>
  </si>
  <si>
    <t>Эффект после подписки, ₽/год</t>
  </si>
  <si>
    <t>Окупаемость внедрения, мес.</t>
  </si>
  <si>
    <t>Порог событий/мес. для подписки</t>
  </si>
  <si>
    <t>Спасённый продукт для подписки, кг/год</t>
  </si>
  <si>
    <t>Доля сырья в эффекте</t>
  </si>
  <si>
    <t>Доля времени</t>
  </si>
  <si>
    <t>Доля обработки</t>
  </si>
  <si>
    <t>Экономика проекта — цена, CAC, LTV и рынок</t>
  </si>
  <si>
    <t>25 000 ₽/мес — модельная цена. Проектные сценарии A/B/C используют единую помесячную воронку; CAC включает полевые часы пилота, канал, комиссию и фактические выигрыши. Все конверсии — допущения.</t>
  </si>
  <si>
    <t>Цена</t>
  </si>
  <si>
    <t>Подписка, ₽/мес</t>
  </si>
  <si>
    <t>Подписка, ₽/год</t>
  </si>
  <si>
    <t>Доля базового эффекта клиента</t>
  </si>
  <si>
    <t>Чистый эффект клиента, 1-й год, ₽</t>
  </si>
  <si>
    <t>LTV подписки, ₽</t>
  </si>
  <si>
    <t>CAC — год 1, ₽</t>
  </si>
  <si>
    <t>LTV/CAC — год 1</t>
  </si>
  <si>
    <t>CAC — год 2, ₽</t>
  </si>
  <si>
    <t>LTV/CAC — год 2</t>
  </si>
  <si>
    <t>Окупаемость CAC год 1, мес.</t>
  </si>
  <si>
    <t>Окупаемость CAC год 2, мес.</t>
  </si>
  <si>
    <t>База — выбрана</t>
  </si>
  <si>
    <t>Сравнение</t>
  </si>
  <si>
    <t>Выбор цены — пилотное допущение. Доля эффекта и чистый эффект пересчитываются от приращения к ручному обходу на листе «Клиент»; сравнение цен не подтверждает готовность платить. Ориентиры — в основном разовые лицензии, не прямые аналоги подписки.</t>
  </si>
  <si>
    <t>Рыночный контекст</t>
  </si>
  <si>
    <t>Единица</t>
  </si>
  <si>
    <t>Трактовка</t>
  </si>
  <si>
    <t>Кандидатный пул РФ ОКВЭД 10.84</t>
  </si>
  <si>
    <t>Широкий справочный список Rusprofile; включает приправы, уксус и соль, не квалифицированный SAM.</t>
  </si>
  <si>
    <t>SAM узкий Москва + МО</t>
  </si>
  <si>
    <t>Именной список: 11 компаний с жидкими и эмульсионными замесами из 20 проверенных строк (7 сухих специй и 2 смешанных вне SAM); нижний предел, не перепись региона.</t>
  </si>
  <si>
    <t>Прокси: 321; сценарий смежных отраслей, не подтверждён и не складывается с узким SAM.</t>
  </si>
  <si>
    <t>BE год 1, выбранная цена</t>
  </si>
  <si>
    <t>активных клиентов</t>
  </si>
  <si>
    <t>Расходы и CAC при ограничении продаж пилотной и командной мощностью.</t>
  </si>
  <si>
    <t>BE год 1 / узкий SAM</t>
  </si>
  <si>
    <t>Сопоставление с 11 именованными компаниями (жидкие и эмульсионные замесы); нижний предел, не перепись региона.</t>
  </si>
  <si>
    <t>BE год 2, выбранная цена</t>
  </si>
  <si>
    <t>Включает пилотный CAC; сравнение с рынком не подтверждает достижимость продаж.</t>
  </si>
  <si>
    <t>BE год 2 / узкий SAM</t>
  </si>
  <si>
    <t>Если BE превышает 100%, узкого рынка недостаточно.</t>
  </si>
  <si>
    <t>BE год 3+, сценарий A</t>
  </si>
  <si>
    <t>Run-rate порог с CAC для сценария A; целевая конверсия 1/2 — непроверенное допущение.</t>
  </si>
  <si>
    <t>BE год 3+ / широкий SAM</t>
  </si>
  <si>
    <t>Широкий рынок — непроверенная прокси-оценка; требуется список целевых компаний.</t>
  </si>
  <si>
    <t>Оборудование цеха</t>
  </si>
  <si>
    <t>статус</t>
  </si>
  <si>
    <t>Не оценено и не включено в клиентский эффект или расходы проекта; требуется спецификация и источник цены.</t>
  </si>
  <si>
    <t>Обратная задача C — безубыточность к концу года 3</t>
  </si>
  <si>
    <t>Оговорка</t>
  </si>
  <si>
    <t>Платные аккаунты Y3, минимум при конверсии 1/2</t>
  </si>
  <si>
    <t>аккаунтов</t>
  </si>
  <si>
    <t>Минимум, чтобы активные клиенты достигли run-rate BE Y3 при сохранении текущих расходов.</t>
  </si>
  <si>
    <t>Пилотные слоты Y3 при базовой конверсии</t>
  </si>
  <si>
    <t>Сравнить с доступными 12 слотами; сценарий C превышает текущую мощность.</t>
  </si>
  <si>
    <t>Полевые часы пилотов Y3</t>
  </si>
  <si>
    <t>Полевое окно CAC, без подготовки/сверки/отчёта.</t>
  </si>
  <si>
    <t>Часы внедрения Y3</t>
  </si>
  <si>
    <t>По 20 ч на платный аккаунт.</t>
  </si>
  <si>
    <t>Часы поддержки Y3</t>
  </si>
  <si>
    <t>С учётом 3 аккаунтов года 2 и новых аккаунтов года 3.</t>
  </si>
  <si>
    <t>Всего часов задач Y3</t>
  </si>
  <si>
    <t>Сравнить с общей доступностью команды; перераспределение времени не равно найму.</t>
  </si>
  <si>
    <t>Конверсия, требуемая при 12 слотах</t>
  </si>
  <si>
    <t>Если результат выше 1, одной конверсией при текущей мощности цель не достигается.</t>
  </si>
  <si>
    <t>Пилотные слоты при конверсии 1/1</t>
  </si>
  <si>
    <t>Оптимистичная чувствительность: 1 пилот → 1 клиент; не подтверждено.</t>
  </si>
  <si>
    <t>При конверсии 1/2 сценарий C требует 32 платных побед и 64 пилотов в Y3; при 12 слотах требуется конверсия 1.61 клиент/пилот, что выше физического максимума 1.</t>
  </si>
  <si>
    <t>Проектный сценарий</t>
  </si>
  <si>
    <t>Конверсия пилот → клиент</t>
  </si>
  <si>
    <t>Новые Y1</t>
  </si>
  <si>
    <t>Новые Y2</t>
  </si>
  <si>
    <t>Новые Y3</t>
  </si>
  <si>
    <t>Активные конец Y3</t>
  </si>
  <si>
    <t>BE run-rate Y3</t>
  </si>
  <si>
    <t>Месяц первого BE</t>
  </si>
  <si>
    <t>Коммерческий год BE</t>
  </si>
  <si>
    <t>LTV/CAC Y1</t>
  </si>
  <si>
    <t>LTV/CAC Y2</t>
  </si>
  <si>
    <t>LTV/CAC Y3</t>
  </si>
  <si>
    <t>Накопленный поток Y3, ₽</t>
  </si>
  <si>
    <t>Накопленный поток месяц 64, ₽</t>
  </si>
  <si>
    <t>Последний месяц BE</t>
  </si>
  <si>
    <t>Накопленные unique аккаунты Y3</t>
  </si>
  <si>
    <t>Прокси-состав: узкие / широкие</t>
  </si>
  <si>
    <t>A — База</t>
  </si>
  <si>
    <t>B — Бережливый запуск</t>
  </si>
  <si>
    <t>C — BE к концу Y3</t>
  </si>
  <si>
    <t>Сценарные параметры клиентской экономики</t>
  </si>
  <si>
    <t>Частота 1 / 2 / 4 в месяц. Эффект сервиса считается только сверх доли событий, которые технолог уже исправляет вручную; доля — непроверенное допущение пилота.</t>
  </si>
  <si>
    <t>Потери без ручного решения</t>
  </si>
  <si>
    <t>Доля спасения сервисом</t>
  </si>
  <si>
    <t>Доля уже исправляется вручную</t>
  </si>
  <si>
    <t>Поиск без системы, ч</t>
  </si>
  <si>
    <t>Поиск с системой, ч</t>
  </si>
  <si>
    <t>Обработка, ₽/кг</t>
  </si>
  <si>
    <t>Коррекция, доля спасённой стоимости</t>
  </si>
  <si>
    <t>Низкий</t>
  </si>
  <si>
    <t>База</t>
  </si>
  <si>
    <t>Стресс</t>
  </si>
  <si>
    <t>Расходы по этапам и безубыточность</t>
  </si>
  <si>
    <t>Плановая последовательность бюджета: пилот 2 мес. (команда без зарплаты) → MVP 2 мес. → рост год 1 → год 2. CAC включает долю продавца, расходы канала и комиссию; зарплата продавца не дублируется в fixed burn. Поддержка учитывается в марже клиента.</t>
  </si>
  <si>
    <t>Этап</t>
  </si>
  <si>
    <t>Срок, мес.</t>
  </si>
  <si>
    <t>Разработка, ₽/мес.</t>
  </si>
  <si>
    <t>Compute, ₽/мес.</t>
  </si>
  <si>
    <t>SSD, ₽/мес.</t>
  </si>
  <si>
    <t>Резерв облака, ₽/мес.</t>
  </si>
  <si>
    <t>Домен, ₽/мес.</t>
  </si>
  <si>
    <t>Инструменты/операции, ₽/мес.</t>
  </si>
  <si>
    <t>Постоянные расходы, ₽/мес.</t>
  </si>
  <si>
    <t>Новые клиенты/мес.</t>
  </si>
  <si>
    <t>Загруженная зарплата продавца, ₽/мес.</t>
  </si>
  <si>
    <t>Бюджет канала, ₽/мес.</t>
  </si>
  <si>
    <t>CAC при цене 25 тыс., ₽</t>
  </si>
  <si>
    <t>CAC при цене 40 тыс., ₽</t>
  </si>
  <si>
    <t>Вклад клиента при 25 тыс., ₽/мес.</t>
  </si>
  <si>
    <t>BE recurring при 25 тыс., активных клиентов</t>
  </si>
  <si>
    <t>Расход/мес. с привлечением при 25 тыс., ₽</t>
  </si>
  <si>
    <t>BE при целевом привлечении, 25 тыс.</t>
  </si>
  <si>
    <t>Среднее активных клиентов в этапе</t>
  </si>
  <si>
    <t>Полные расходы/мес. при 25 тыс., ₽</t>
  </si>
  <si>
    <t>Расходы этапа при 25 тыс., ₽</t>
  </si>
  <si>
    <t>Вклад клиента при 40 тыс., ₽/мес.</t>
  </si>
  <si>
    <t>BE recurring при 40 тыс., активных клиентов</t>
  </si>
  <si>
    <t>Расход/мес. с привлечением при 40 тыс., ₽</t>
  </si>
  <si>
    <t>BE при целевом привлечении, 40 тыс.</t>
  </si>
  <si>
    <t>Полные расходы/мес. при 40 тыс., ₽</t>
  </si>
  <si>
    <t>Расходы этапа при 40 тыс., ₽</t>
  </si>
  <si>
    <t>Пилот (0–2 мес.)</t>
  </si>
  <si>
    <t>MVP (2 мес.)</t>
  </si>
  <si>
    <t>Рост — год 1</t>
  </si>
  <si>
    <t>Рост — год 2</t>
  </si>
  <si>
    <t>Единая помесячная модель — базовый, бережливый и обратный сценарии</t>
  </si>
  <si>
    <t>Одна воронка, 64 месяца на сценарий. Продажи ограничены контактами, встречами, пилотными слотами, внедрением, поддержкой и SAM. Базовая конверсия 1/2 — допущение. Полевое окно пилота 4–6 недель внутри двухмесячного бюджетного этапа.</t>
  </si>
  <si>
    <t>Месяц проекта</t>
  </si>
  <si>
    <t>Рынок/SAM</t>
  </si>
  <si>
    <t>Контакты</t>
  </si>
  <si>
    <t>Встречи</t>
  </si>
  <si>
    <t>Запросы пилота</t>
  </si>
  <si>
    <t>Доступные пилоты</t>
  </si>
  <si>
    <t>Фактические пилоты</t>
  </si>
  <si>
    <t>Новые платные клиенты</t>
  </si>
  <si>
    <t>Ушедшие клиенты</t>
  </si>
  <si>
    <t>Активные на начало</t>
  </si>
  <si>
    <t>Активные на конец</t>
  </si>
  <si>
    <t>Среднее активных</t>
  </si>
  <si>
    <t>Часы пилота</t>
  </si>
  <si>
    <t>Часы внедрения</t>
  </si>
  <si>
    <t>Часы поддержки</t>
  </si>
  <si>
    <t>Подписка, ₽</t>
  </si>
  <si>
    <t>Внедрения, ₽</t>
  </si>
  <si>
    <t>Постоянные расходы, ₽</t>
  </si>
  <si>
    <t>Зарплата продаж, ₽</t>
  </si>
  <si>
    <t>Канал продаж, ₽</t>
  </si>
  <si>
    <t>Выплаты основателям, ₽</t>
  </si>
  <si>
    <t>Полевые пилоты, ₽</t>
  </si>
  <si>
    <t>Комиссия, ₽</t>
  </si>
  <si>
    <t>Поддержка, ₽</t>
  </si>
  <si>
    <t>Всего затрат, ₽</t>
  </si>
  <si>
    <t>Чистый денежный поток, ₽</t>
  </si>
  <si>
    <t>Денежный поток накопленно, ₽</t>
  </si>
  <si>
    <t>BE run-rate, клиентов</t>
  </si>
  <si>
    <t>BE достигнут</t>
  </si>
  <si>
    <t>Повторяющийся поток без внедрений, ₽</t>
  </si>
  <si>
    <t>Пилот</t>
  </si>
  <si>
    <t>—</t>
  </si>
  <si>
    <t>MVP</t>
  </si>
  <si>
    <t>Узкий SAM: 20 именных, список не проверен</t>
  </si>
  <si>
    <t>Рост — год 3</t>
  </si>
  <si>
    <t>Узкий SAM (20 именных) покрывает базовое накопление</t>
  </si>
  <si>
    <t>Рост — год 4</t>
  </si>
  <si>
    <t>Рост — год 5</t>
  </si>
  <si>
    <t>Широкий SAM (прокси) нужен после узких 20</t>
  </si>
  <si>
    <t>Широкий SAM (прокси): обратный случай превышает узкие 20</t>
  </si>
  <si>
    <t>Чувствительность клиентского эффекта</t>
  </si>
  <si>
    <t>Параметры не являются фактами; 65 000 ₽ — точка без источника, только чувствительность. Чистый эффект включает подписку и разовые расходы клиента.</t>
  </si>
  <si>
    <t>Сырьё, ₽/замес</t>
  </si>
  <si>
    <t>Доля потерь</t>
  </si>
  <si>
    <t>Событий/мес</t>
  </si>
  <si>
    <t>Сырьё, ₽/год</t>
  </si>
  <si>
    <t>Время, ₽/год</t>
  </si>
  <si>
    <t>Обработка, ₽/год</t>
  </si>
  <si>
    <t>Эффект до подписки, ₽/год</t>
  </si>
  <si>
    <t>Чистый эффект 1-го года, ₽</t>
  </si>
  <si>
    <t>Чистый эффект ≤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</si>
</sst>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;\-"/>
    <numFmt numFmtId="165" formatCode="0.0%"/>
    <numFmt numFmtId="166" formatCode="0.0"/>
    <numFmt numFmtId="167" formatCode="0.00\x"/>
  </numFmts>
  <fonts count="7" x14ac:knownFonts="1">
    <font>
      <sz val="11"/>
      <color theme="1"/>
      <name val="Calibri"/>
      <family val="2"/>
      <scheme val="minor"/>
    </font>
    <font>
      <b/>
      <sz val="15"/>
      <color rgb="FFFFFFFF"/>
      <name val="Arial"/>
    </font>
    <font>
      <i/>
      <sz val="10"/>
      <color rgb="FF000000"/>
      <name val="Arial"/>
    </font>
    <font>
      <b/>
      <sz val="11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sz val="10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165" fontId="4" fillId="3" borderId="1" xfId="0" applyNumberFormat="1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6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3" fontId="6" fillId="0" borderId="1" xfId="0" applyNumberFormat="1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167" fontId="5" fillId="0" borderId="1" xfId="0" applyNumberFormat="1" applyFont="1" applyBorder="1" applyAlignment="1">
      <alignment vertical="top" wrapText="1"/>
    </xf>
    <xf numFmtId="166" fontId="6" fillId="0" borderId="1" xfId="0" applyNumberFormat="1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1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1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9" fontId="5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34" customWidth="1"/>
    <col min="2" max="2" width="52" customWidth="1"/>
    <col min="3" max="3" width="20" customWidth="1"/>
    <col min="4" max="4" width="28" customWidth="1"/>
    <col min="5" max="5" width="92" customWidth="1"/>
    <col min="6" max="6" width="105" customWidth="1"/>
  </cols>
  <sheetData>
    <row r="1" spans="1:6" ht="27.95" customHeight="1" x14ac:dyDescent="0.25">
      <c r="A1" s="28" t="s">
        <v>0</v>
      </c>
      <c r="B1" s="27"/>
      <c r="C1" s="27"/>
      <c r="D1" s="27"/>
      <c r="E1" s="27"/>
      <c r="F1" s="27"/>
    </row>
    <row r="2" spans="1:6" ht="33.950000000000003" customHeight="1" x14ac:dyDescent="0.25">
      <c r="A2" s="26" t="s">
        <v>1</v>
      </c>
      <c r="B2" s="27"/>
      <c r="C2" s="27"/>
      <c r="D2" s="27"/>
      <c r="E2" s="27"/>
      <c r="F2" s="27"/>
    </row>
    <row r="4" spans="1:6" ht="44.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x14ac:dyDescent="0.25">
      <c r="A5" s="2" t="s">
        <v>8</v>
      </c>
      <c r="B5" s="2" t="s">
        <v>9</v>
      </c>
      <c r="C5" s="3">
        <v>1000</v>
      </c>
      <c r="D5" s="2" t="s">
        <v>10</v>
      </c>
      <c r="E5" s="2" t="s">
        <v>11</v>
      </c>
      <c r="F5" s="2" t="s">
        <v>12</v>
      </c>
    </row>
    <row r="6" spans="1:6" ht="25.5" x14ac:dyDescent="0.25">
      <c r="A6" s="2" t="s">
        <v>13</v>
      </c>
      <c r="B6" s="2" t="s">
        <v>14</v>
      </c>
      <c r="C6" s="3">
        <v>371</v>
      </c>
      <c r="D6" s="2" t="s">
        <v>15</v>
      </c>
      <c r="E6" s="2" t="s">
        <v>16</v>
      </c>
      <c r="F6" s="2" t="s">
        <v>17</v>
      </c>
    </row>
    <row r="7" spans="1:6" x14ac:dyDescent="0.25">
      <c r="A7" s="2" t="s">
        <v>18</v>
      </c>
      <c r="B7" s="2" t="s">
        <v>19</v>
      </c>
      <c r="C7" s="4">
        <v>0.6</v>
      </c>
      <c r="D7" s="2" t="s">
        <v>20</v>
      </c>
      <c r="E7" s="2" t="s">
        <v>21</v>
      </c>
      <c r="F7" s="2" t="s">
        <v>22</v>
      </c>
    </row>
    <row r="8" spans="1:6" ht="25.5" x14ac:dyDescent="0.25">
      <c r="A8" s="2" t="s">
        <v>23</v>
      </c>
      <c r="B8" s="2" t="s">
        <v>24</v>
      </c>
      <c r="C8" s="3">
        <v>135000</v>
      </c>
      <c r="D8" s="2" t="s">
        <v>25</v>
      </c>
      <c r="E8" s="2" t="s">
        <v>26</v>
      </c>
      <c r="F8" s="2" t="s">
        <v>27</v>
      </c>
    </row>
    <row r="9" spans="1:6" x14ac:dyDescent="0.25">
      <c r="A9" s="2" t="s">
        <v>28</v>
      </c>
      <c r="B9" s="2" t="s">
        <v>29</v>
      </c>
      <c r="C9" s="5">
        <v>173.33</v>
      </c>
      <c r="D9" s="2" t="s">
        <v>30</v>
      </c>
      <c r="E9" s="2" t="s">
        <v>31</v>
      </c>
      <c r="F9" s="2" t="s">
        <v>32</v>
      </c>
    </row>
    <row r="10" spans="1:6" x14ac:dyDescent="0.25">
      <c r="A10" s="2" t="s">
        <v>33</v>
      </c>
      <c r="B10" s="2" t="s">
        <v>34</v>
      </c>
      <c r="C10" s="3">
        <v>1</v>
      </c>
      <c r="D10" s="2" t="s">
        <v>35</v>
      </c>
      <c r="E10" s="2" t="s">
        <v>21</v>
      </c>
      <c r="F10" s="2" t="s">
        <v>36</v>
      </c>
    </row>
    <row r="11" spans="1:6" x14ac:dyDescent="0.25">
      <c r="A11" s="2" t="s">
        <v>37</v>
      </c>
      <c r="B11" s="2" t="s">
        <v>38</v>
      </c>
      <c r="C11" s="3">
        <v>2</v>
      </c>
      <c r="D11" s="2" t="s">
        <v>35</v>
      </c>
      <c r="E11" s="2" t="s">
        <v>21</v>
      </c>
      <c r="F11" s="2" t="s">
        <v>39</v>
      </c>
    </row>
    <row r="12" spans="1:6" x14ac:dyDescent="0.25">
      <c r="A12" s="2" t="s">
        <v>40</v>
      </c>
      <c r="B12" s="2" t="s">
        <v>41</v>
      </c>
      <c r="C12" s="3">
        <v>4</v>
      </c>
      <c r="D12" s="2" t="s">
        <v>35</v>
      </c>
      <c r="E12" s="2" t="s">
        <v>21</v>
      </c>
      <c r="F12" s="2" t="s">
        <v>42</v>
      </c>
    </row>
    <row r="13" spans="1:6" x14ac:dyDescent="0.25">
      <c r="A13" s="2" t="s">
        <v>43</v>
      </c>
      <c r="B13" s="2" t="s">
        <v>44</v>
      </c>
      <c r="C13" s="4">
        <v>0.8</v>
      </c>
      <c r="D13" s="2" t="s">
        <v>20</v>
      </c>
      <c r="E13" s="2" t="s">
        <v>21</v>
      </c>
      <c r="F13" s="2" t="s">
        <v>45</v>
      </c>
    </row>
    <row r="14" spans="1:6" x14ac:dyDescent="0.25">
      <c r="A14" s="2" t="s">
        <v>46</v>
      </c>
      <c r="B14" s="2" t="s">
        <v>47</v>
      </c>
      <c r="C14" s="4">
        <v>1</v>
      </c>
      <c r="D14" s="2" t="s">
        <v>20</v>
      </c>
      <c r="E14" s="2" t="s">
        <v>21</v>
      </c>
      <c r="F14" s="2" t="s">
        <v>48</v>
      </c>
    </row>
    <row r="15" spans="1:6" x14ac:dyDescent="0.25">
      <c r="A15" s="2" t="s">
        <v>49</v>
      </c>
      <c r="B15" s="2" t="s">
        <v>50</v>
      </c>
      <c r="C15" s="4">
        <v>0.6</v>
      </c>
      <c r="D15" s="2" t="s">
        <v>20</v>
      </c>
      <c r="E15" s="2" t="s">
        <v>21</v>
      </c>
      <c r="F15" s="2" t="s">
        <v>51</v>
      </c>
    </row>
    <row r="16" spans="1:6" x14ac:dyDescent="0.25">
      <c r="A16" s="2" t="s">
        <v>52</v>
      </c>
      <c r="B16" s="2" t="s">
        <v>53</v>
      </c>
      <c r="C16" s="4">
        <v>0.3</v>
      </c>
      <c r="D16" s="2" t="s">
        <v>20</v>
      </c>
      <c r="E16" s="2" t="s">
        <v>21</v>
      </c>
      <c r="F16" s="2" t="s">
        <v>54</v>
      </c>
    </row>
    <row r="17" spans="1:6" ht="25.5" x14ac:dyDescent="0.25">
      <c r="A17" s="2" t="s">
        <v>55</v>
      </c>
      <c r="B17" s="2" t="s">
        <v>56</v>
      </c>
      <c r="C17" s="4">
        <v>0.8</v>
      </c>
      <c r="D17" s="2" t="s">
        <v>20</v>
      </c>
      <c r="E17" s="2" t="s">
        <v>57</v>
      </c>
      <c r="F17" s="2" t="s">
        <v>58</v>
      </c>
    </row>
    <row r="18" spans="1:6" ht="25.5" x14ac:dyDescent="0.25">
      <c r="A18" s="2" t="s">
        <v>59</v>
      </c>
      <c r="B18" s="2" t="s">
        <v>60</v>
      </c>
      <c r="C18" s="4">
        <v>0.98</v>
      </c>
      <c r="D18" s="2" t="s">
        <v>20</v>
      </c>
      <c r="E18" s="2" t="s">
        <v>57</v>
      </c>
      <c r="F18" s="2" t="s">
        <v>61</v>
      </c>
    </row>
    <row r="19" spans="1:6" x14ac:dyDescent="0.25">
      <c r="A19" s="2" t="s">
        <v>62</v>
      </c>
      <c r="B19" s="2" t="s">
        <v>63</v>
      </c>
      <c r="C19" s="3">
        <v>28000</v>
      </c>
      <c r="D19" s="2" t="s">
        <v>64</v>
      </c>
      <c r="E19" s="2" t="s">
        <v>65</v>
      </c>
      <c r="F19" s="2" t="s">
        <v>66</v>
      </c>
    </row>
    <row r="20" spans="1:6" x14ac:dyDescent="0.25">
      <c r="A20" s="2" t="s">
        <v>67</v>
      </c>
      <c r="B20" s="2" t="s">
        <v>68</v>
      </c>
      <c r="C20" s="3">
        <v>65000</v>
      </c>
      <c r="D20" s="2" t="s">
        <v>64</v>
      </c>
      <c r="E20" s="2" t="s">
        <v>69</v>
      </c>
      <c r="F20" s="2" t="s">
        <v>70</v>
      </c>
    </row>
    <row r="21" spans="1:6" ht="38.25" x14ac:dyDescent="0.25">
      <c r="A21" s="2" t="s">
        <v>71</v>
      </c>
      <c r="B21" s="2" t="s">
        <v>72</v>
      </c>
      <c r="C21" s="3">
        <v>11</v>
      </c>
      <c r="D21" s="2" t="s">
        <v>73</v>
      </c>
      <c r="E21" s="2" t="s">
        <v>74</v>
      </c>
      <c r="F21" s="2" t="s">
        <v>75</v>
      </c>
    </row>
    <row r="22" spans="1:6" ht="25.5" x14ac:dyDescent="0.25">
      <c r="A22" s="2" t="s">
        <v>76</v>
      </c>
      <c r="B22" s="2" t="s">
        <v>77</v>
      </c>
      <c r="C22" s="3">
        <v>321</v>
      </c>
      <c r="D22" s="2" t="s">
        <v>73</v>
      </c>
      <c r="E22" s="2" t="s">
        <v>78</v>
      </c>
      <c r="F22" s="2" t="s">
        <v>79</v>
      </c>
    </row>
    <row r="23" spans="1:6" x14ac:dyDescent="0.25">
      <c r="A23" s="2" t="s">
        <v>80</v>
      </c>
      <c r="B23" s="2" t="s">
        <v>81</v>
      </c>
      <c r="C23" s="3">
        <v>4</v>
      </c>
      <c r="D23" s="2" t="s">
        <v>82</v>
      </c>
      <c r="E23" s="2" t="s">
        <v>83</v>
      </c>
      <c r="F23" s="2" t="s">
        <v>84</v>
      </c>
    </row>
    <row r="24" spans="1:6" x14ac:dyDescent="0.25">
      <c r="A24" s="2" t="s">
        <v>85</v>
      </c>
      <c r="B24" s="2" t="s">
        <v>86</v>
      </c>
      <c r="C24" s="3">
        <v>6</v>
      </c>
      <c r="D24" s="2" t="s">
        <v>82</v>
      </c>
      <c r="E24" s="2" t="s">
        <v>83</v>
      </c>
      <c r="F24" s="2" t="s">
        <v>87</v>
      </c>
    </row>
    <row r="25" spans="1:6" ht="25.5" x14ac:dyDescent="0.25">
      <c r="A25" s="2" t="s">
        <v>88</v>
      </c>
      <c r="B25" s="2" t="s">
        <v>89</v>
      </c>
      <c r="C25" s="3">
        <v>2</v>
      </c>
      <c r="D25" s="2" t="s">
        <v>90</v>
      </c>
      <c r="E25" s="2" t="s">
        <v>91</v>
      </c>
      <c r="F25" s="2" t="s">
        <v>92</v>
      </c>
    </row>
    <row r="26" spans="1:6" x14ac:dyDescent="0.25">
      <c r="A26" s="2" t="s">
        <v>93</v>
      </c>
      <c r="B26" s="2" t="s">
        <v>94</v>
      </c>
      <c r="C26" s="5">
        <v>120</v>
      </c>
      <c r="D26" s="2" t="s">
        <v>95</v>
      </c>
      <c r="E26" s="2" t="s">
        <v>96</v>
      </c>
      <c r="F26" s="2" t="s">
        <v>97</v>
      </c>
    </row>
    <row r="27" spans="1:6" x14ac:dyDescent="0.25">
      <c r="A27" s="2" t="s">
        <v>98</v>
      </c>
      <c r="B27" s="2" t="s">
        <v>99</v>
      </c>
      <c r="C27" s="5">
        <v>120</v>
      </c>
      <c r="D27" s="2" t="s">
        <v>95</v>
      </c>
      <c r="E27" s="2" t="s">
        <v>100</v>
      </c>
      <c r="F27" s="2" t="s">
        <v>101</v>
      </c>
    </row>
    <row r="28" spans="1:6" ht="25.5" x14ac:dyDescent="0.25">
      <c r="A28" s="2" t="s">
        <v>102</v>
      </c>
      <c r="B28" s="2" t="s">
        <v>103</v>
      </c>
      <c r="C28" s="5">
        <v>240</v>
      </c>
      <c r="D28" s="2" t="s">
        <v>95</v>
      </c>
      <c r="E28" s="2" t="s">
        <v>104</v>
      </c>
      <c r="F28" s="2" t="s">
        <v>105</v>
      </c>
    </row>
    <row r="29" spans="1:6" x14ac:dyDescent="0.25">
      <c r="A29" s="2" t="s">
        <v>106</v>
      </c>
      <c r="B29" s="2" t="s">
        <v>107</v>
      </c>
      <c r="C29" s="5">
        <v>120</v>
      </c>
      <c r="D29" s="2" t="s">
        <v>95</v>
      </c>
      <c r="E29" s="2" t="s">
        <v>96</v>
      </c>
      <c r="F29" s="2" t="s">
        <v>108</v>
      </c>
    </row>
    <row r="30" spans="1:6" x14ac:dyDescent="0.25">
      <c r="A30" s="2" t="s">
        <v>109</v>
      </c>
      <c r="B30" s="2" t="s">
        <v>110</v>
      </c>
      <c r="C30" s="5">
        <v>120</v>
      </c>
      <c r="D30" s="2" t="s">
        <v>95</v>
      </c>
      <c r="E30" s="2" t="s">
        <v>111</v>
      </c>
      <c r="F30" s="2" t="s">
        <v>112</v>
      </c>
    </row>
    <row r="31" spans="1:6" x14ac:dyDescent="0.25">
      <c r="A31" s="2" t="s">
        <v>113</v>
      </c>
      <c r="B31" s="2" t="s">
        <v>114</v>
      </c>
      <c r="C31" s="5">
        <v>240</v>
      </c>
      <c r="D31" s="2" t="s">
        <v>95</v>
      </c>
      <c r="E31" s="2" t="s">
        <v>115</v>
      </c>
      <c r="F31" s="2" t="s">
        <v>116</v>
      </c>
    </row>
    <row r="32" spans="1:6" x14ac:dyDescent="0.25">
      <c r="A32" s="2" t="s">
        <v>117</v>
      </c>
      <c r="B32" s="2" t="s">
        <v>118</v>
      </c>
      <c r="C32" s="5">
        <v>144</v>
      </c>
      <c r="D32" s="2" t="s">
        <v>95</v>
      </c>
      <c r="E32" s="2" t="s">
        <v>119</v>
      </c>
      <c r="F32" s="2" t="s">
        <v>120</v>
      </c>
    </row>
    <row r="33" spans="1:6" x14ac:dyDescent="0.25">
      <c r="A33" s="2" t="s">
        <v>121</v>
      </c>
      <c r="B33" s="2" t="s">
        <v>122</v>
      </c>
      <c r="C33" s="5">
        <v>288</v>
      </c>
      <c r="D33" s="2" t="s">
        <v>95</v>
      </c>
      <c r="E33" s="2" t="s">
        <v>123</v>
      </c>
      <c r="F33" s="2" t="s">
        <v>124</v>
      </c>
    </row>
    <row r="34" spans="1:6" x14ac:dyDescent="0.25">
      <c r="A34" s="2" t="s">
        <v>125</v>
      </c>
      <c r="B34" s="2" t="s">
        <v>126</v>
      </c>
      <c r="C34" s="5">
        <v>576</v>
      </c>
      <c r="D34" s="2" t="s">
        <v>95</v>
      </c>
      <c r="E34" s="2" t="s">
        <v>127</v>
      </c>
      <c r="F34" s="2" t="s">
        <v>128</v>
      </c>
    </row>
    <row r="35" spans="1:6" ht="25.5" x14ac:dyDescent="0.25">
      <c r="A35" s="2" t="s">
        <v>129</v>
      </c>
      <c r="B35" s="2" t="s">
        <v>130</v>
      </c>
      <c r="C35" s="3" t="s">
        <v>131</v>
      </c>
      <c r="D35" s="2" t="s">
        <v>132</v>
      </c>
      <c r="E35" s="2" t="s">
        <v>133</v>
      </c>
      <c r="F35" s="2" t="s">
        <v>134</v>
      </c>
    </row>
    <row r="36" spans="1:6" ht="25.5" x14ac:dyDescent="0.25">
      <c r="A36" s="2" t="s">
        <v>135</v>
      </c>
      <c r="B36" s="2" t="s">
        <v>136</v>
      </c>
      <c r="C36" s="3">
        <v>80</v>
      </c>
      <c r="D36" s="2" t="s">
        <v>137</v>
      </c>
      <c r="E36" s="2" t="s">
        <v>138</v>
      </c>
      <c r="F36" s="2" t="s">
        <v>139</v>
      </c>
    </row>
    <row r="37" spans="1:6" x14ac:dyDescent="0.25">
      <c r="A37" s="2" t="s">
        <v>140</v>
      </c>
      <c r="B37" s="2" t="s">
        <v>141</v>
      </c>
      <c r="C37" s="5">
        <v>24</v>
      </c>
      <c r="D37" s="2" t="s">
        <v>142</v>
      </c>
      <c r="E37" s="2" t="s">
        <v>138</v>
      </c>
      <c r="F37" s="2" t="s">
        <v>143</v>
      </c>
    </row>
    <row r="38" spans="1:6" x14ac:dyDescent="0.25">
      <c r="A38" s="2" t="s">
        <v>144</v>
      </c>
      <c r="B38" s="2" t="s">
        <v>145</v>
      </c>
      <c r="C38" s="3">
        <v>12</v>
      </c>
      <c r="D38" s="2" t="s">
        <v>146</v>
      </c>
      <c r="E38" s="2" t="s">
        <v>138</v>
      </c>
      <c r="F38" s="2" t="s">
        <v>147</v>
      </c>
    </row>
    <row r="39" spans="1:6" x14ac:dyDescent="0.25">
      <c r="A39" s="2" t="s">
        <v>148</v>
      </c>
      <c r="B39" s="2" t="s">
        <v>149</v>
      </c>
      <c r="C39" s="3">
        <v>4</v>
      </c>
      <c r="D39" s="2" t="s">
        <v>150</v>
      </c>
      <c r="E39" s="2" t="s">
        <v>151</v>
      </c>
      <c r="F39" s="2" t="s">
        <v>152</v>
      </c>
    </row>
    <row r="40" spans="1:6" ht="25.5" x14ac:dyDescent="0.25">
      <c r="A40" s="2" t="s">
        <v>153</v>
      </c>
      <c r="B40" s="2" t="s">
        <v>154</v>
      </c>
      <c r="C40" s="5">
        <v>20</v>
      </c>
      <c r="D40" s="2" t="s">
        <v>155</v>
      </c>
      <c r="E40" s="2" t="s">
        <v>156</v>
      </c>
      <c r="F40" s="2" t="s">
        <v>157</v>
      </c>
    </row>
    <row r="41" spans="1:6" ht="25.5" x14ac:dyDescent="0.25">
      <c r="A41" s="2" t="s">
        <v>158</v>
      </c>
      <c r="B41" s="2" t="s">
        <v>159</v>
      </c>
      <c r="C41" s="3">
        <v>0.5</v>
      </c>
      <c r="D41" s="2" t="s">
        <v>160</v>
      </c>
      <c r="E41" s="2" t="s">
        <v>161</v>
      </c>
      <c r="F41" s="2" t="s">
        <v>162</v>
      </c>
    </row>
    <row r="42" spans="1:6" ht="25.5" x14ac:dyDescent="0.25">
      <c r="A42" s="2" t="s">
        <v>163</v>
      </c>
      <c r="B42" s="2" t="s">
        <v>164</v>
      </c>
      <c r="C42" s="3">
        <v>1</v>
      </c>
      <c r="D42" s="2" t="s">
        <v>160</v>
      </c>
      <c r="E42" s="2" t="s">
        <v>165</v>
      </c>
      <c r="F42" s="2" t="s">
        <v>166</v>
      </c>
    </row>
    <row r="43" spans="1:6" ht="25.5" x14ac:dyDescent="0.25">
      <c r="A43" s="2" t="s">
        <v>167</v>
      </c>
      <c r="B43" s="2" t="s">
        <v>168</v>
      </c>
      <c r="C43" s="3">
        <v>0.33333333329999998</v>
      </c>
      <c r="D43" s="2" t="s">
        <v>160</v>
      </c>
      <c r="E43" s="2" t="s">
        <v>169</v>
      </c>
      <c r="F43" s="2" t="s">
        <v>170</v>
      </c>
    </row>
    <row r="44" spans="1:6" x14ac:dyDescent="0.25">
      <c r="A44" s="2" t="s">
        <v>171</v>
      </c>
      <c r="B44" s="2" t="s">
        <v>172</v>
      </c>
      <c r="C44" s="3">
        <v>6</v>
      </c>
      <c r="D44" s="2" t="s">
        <v>173</v>
      </c>
      <c r="E44" s="2" t="s">
        <v>174</v>
      </c>
      <c r="F44" s="2" t="s">
        <v>175</v>
      </c>
    </row>
    <row r="45" spans="1:6" x14ac:dyDescent="0.25">
      <c r="A45" s="2" t="s">
        <v>176</v>
      </c>
      <c r="B45" s="2" t="s">
        <v>177</v>
      </c>
      <c r="C45" s="3">
        <v>6</v>
      </c>
      <c r="D45" s="2" t="s">
        <v>173</v>
      </c>
      <c r="E45" s="2" t="s">
        <v>174</v>
      </c>
      <c r="F45" s="2" t="s">
        <v>175</v>
      </c>
    </row>
    <row r="46" spans="1:6" x14ac:dyDescent="0.25">
      <c r="A46" s="2" t="s">
        <v>178</v>
      </c>
      <c r="B46" s="2" t="s">
        <v>179</v>
      </c>
      <c r="C46" s="3">
        <v>12</v>
      </c>
      <c r="D46" s="2" t="s">
        <v>173</v>
      </c>
      <c r="E46" s="2" t="s">
        <v>174</v>
      </c>
      <c r="F46" s="2" t="s">
        <v>180</v>
      </c>
    </row>
    <row r="47" spans="1:6" x14ac:dyDescent="0.25">
      <c r="A47" s="2" t="s">
        <v>181</v>
      </c>
      <c r="B47" s="2" t="s">
        <v>182</v>
      </c>
      <c r="C47" s="5">
        <v>384</v>
      </c>
      <c r="D47" s="2" t="s">
        <v>95</v>
      </c>
      <c r="E47" s="2" t="s">
        <v>183</v>
      </c>
      <c r="F47" s="2" t="s">
        <v>184</v>
      </c>
    </row>
    <row r="48" spans="1:6" x14ac:dyDescent="0.25">
      <c r="A48" s="2" t="s">
        <v>185</v>
      </c>
      <c r="B48" s="2" t="s">
        <v>186</v>
      </c>
      <c r="C48" s="5">
        <v>768</v>
      </c>
      <c r="D48" s="2" t="s">
        <v>95</v>
      </c>
      <c r="E48" s="2" t="s">
        <v>183</v>
      </c>
      <c r="F48" s="2" t="s">
        <v>187</v>
      </c>
    </row>
    <row r="49" spans="1:6" x14ac:dyDescent="0.25">
      <c r="A49" s="2" t="s">
        <v>188</v>
      </c>
      <c r="B49" s="2" t="s">
        <v>189</v>
      </c>
      <c r="C49" s="5">
        <v>1536</v>
      </c>
      <c r="D49" s="2" t="s">
        <v>95</v>
      </c>
      <c r="E49" s="2" t="s">
        <v>183</v>
      </c>
      <c r="F49" s="2" t="s">
        <v>190</v>
      </c>
    </row>
    <row r="50" spans="1:6" ht="25.5" x14ac:dyDescent="0.25">
      <c r="A50" s="2" t="s">
        <v>191</v>
      </c>
      <c r="B50" s="2" t="s">
        <v>192</v>
      </c>
      <c r="C50" s="3">
        <v>10</v>
      </c>
      <c r="D50" s="2" t="s">
        <v>193</v>
      </c>
      <c r="E50" s="2" t="s">
        <v>194</v>
      </c>
      <c r="F50" s="2" t="s">
        <v>195</v>
      </c>
    </row>
    <row r="51" spans="1:6" ht="25.5" x14ac:dyDescent="0.25">
      <c r="A51" s="2" t="s">
        <v>196</v>
      </c>
      <c r="B51" s="2" t="s">
        <v>197</v>
      </c>
      <c r="C51" s="3">
        <v>200000</v>
      </c>
      <c r="D51" s="2" t="s">
        <v>198</v>
      </c>
      <c r="E51" s="2" t="s">
        <v>199</v>
      </c>
      <c r="F51" s="2" t="s">
        <v>200</v>
      </c>
    </row>
    <row r="52" spans="1:6" x14ac:dyDescent="0.25">
      <c r="A52" s="2" t="s">
        <v>201</v>
      </c>
      <c r="B52" s="2" t="s">
        <v>202</v>
      </c>
      <c r="C52" s="3">
        <v>2500</v>
      </c>
      <c r="D52" s="2" t="s">
        <v>203</v>
      </c>
      <c r="E52" s="2" t="s">
        <v>204</v>
      </c>
      <c r="F52" s="2" t="s">
        <v>205</v>
      </c>
    </row>
    <row r="53" spans="1:6" ht="25.5" x14ac:dyDescent="0.25">
      <c r="A53" s="2" t="s">
        <v>206</v>
      </c>
      <c r="B53" s="2" t="s">
        <v>207</v>
      </c>
      <c r="C53" s="5">
        <v>12</v>
      </c>
      <c r="D53" s="2" t="s">
        <v>208</v>
      </c>
      <c r="E53" s="2" t="s">
        <v>209</v>
      </c>
      <c r="F53" s="2" t="s">
        <v>210</v>
      </c>
    </row>
    <row r="54" spans="1:6" ht="76.5" x14ac:dyDescent="0.25">
      <c r="A54" s="2" t="s">
        <v>211</v>
      </c>
      <c r="B54" s="2" t="s">
        <v>212</v>
      </c>
      <c r="C54" s="3" t="s">
        <v>213</v>
      </c>
      <c r="D54" s="2" t="s">
        <v>214</v>
      </c>
      <c r="E54" s="2" t="s">
        <v>215</v>
      </c>
      <c r="F54" s="2" t="s">
        <v>216</v>
      </c>
    </row>
    <row r="55" spans="1:6" ht="25.5" x14ac:dyDescent="0.25">
      <c r="A55" s="2" t="s">
        <v>217</v>
      </c>
      <c r="B55" s="2" t="s">
        <v>218</v>
      </c>
      <c r="C55" s="5">
        <v>24</v>
      </c>
      <c r="D55" s="2" t="s">
        <v>208</v>
      </c>
      <c r="E55" s="2" t="s">
        <v>219</v>
      </c>
      <c r="F55" s="2" t="s">
        <v>220</v>
      </c>
    </row>
    <row r="56" spans="1:6" ht="25.5" x14ac:dyDescent="0.25">
      <c r="A56" s="2" t="s">
        <v>221</v>
      </c>
      <c r="B56" s="2" t="s">
        <v>222</v>
      </c>
      <c r="C56" s="3">
        <v>6</v>
      </c>
      <c r="D56" s="2" t="s">
        <v>223</v>
      </c>
      <c r="E56" s="2" t="s">
        <v>224</v>
      </c>
      <c r="F56" s="2" t="s">
        <v>225</v>
      </c>
    </row>
    <row r="57" spans="1:6" ht="25.5" x14ac:dyDescent="0.25">
      <c r="A57" s="2" t="s">
        <v>226</v>
      </c>
      <c r="B57" s="2" t="s">
        <v>227</v>
      </c>
      <c r="C57" s="3">
        <v>6</v>
      </c>
      <c r="D57" s="2" t="s">
        <v>223</v>
      </c>
      <c r="E57" s="2" t="s">
        <v>224</v>
      </c>
      <c r="F57" s="2" t="s">
        <v>228</v>
      </c>
    </row>
    <row r="58" spans="1:6" ht="25.5" x14ac:dyDescent="0.25">
      <c r="A58" s="2" t="s">
        <v>229</v>
      </c>
      <c r="B58" s="2" t="s">
        <v>230</v>
      </c>
      <c r="C58" s="3">
        <v>12</v>
      </c>
      <c r="D58" s="2" t="s">
        <v>223</v>
      </c>
      <c r="E58" s="2" t="s">
        <v>224</v>
      </c>
      <c r="F58" s="2" t="s">
        <v>231</v>
      </c>
    </row>
    <row r="59" spans="1:6" x14ac:dyDescent="0.25">
      <c r="A59" s="2" t="s">
        <v>232</v>
      </c>
      <c r="B59" s="2" t="s">
        <v>233</v>
      </c>
      <c r="C59" s="3">
        <v>0</v>
      </c>
      <c r="D59" s="2" t="s">
        <v>35</v>
      </c>
      <c r="E59" s="2" t="s">
        <v>234</v>
      </c>
      <c r="F59" s="2" t="s">
        <v>235</v>
      </c>
    </row>
    <row r="60" spans="1:6" x14ac:dyDescent="0.25">
      <c r="A60" s="2" t="s">
        <v>236</v>
      </c>
      <c r="B60" s="2" t="s">
        <v>237</v>
      </c>
      <c r="C60" s="3">
        <v>4</v>
      </c>
      <c r="D60" s="2" t="s">
        <v>35</v>
      </c>
      <c r="E60" s="2" t="s">
        <v>234</v>
      </c>
      <c r="F60" s="2" t="s">
        <v>238</v>
      </c>
    </row>
    <row r="61" spans="1:6" x14ac:dyDescent="0.25">
      <c r="A61" s="2" t="s">
        <v>239</v>
      </c>
      <c r="B61" s="2" t="s">
        <v>240</v>
      </c>
      <c r="C61" s="4">
        <v>0.5</v>
      </c>
      <c r="D61" s="2" t="s">
        <v>20</v>
      </c>
      <c r="E61" s="2" t="s">
        <v>241</v>
      </c>
      <c r="F61" s="2" t="s">
        <v>242</v>
      </c>
    </row>
    <row r="62" spans="1:6" x14ac:dyDescent="0.25">
      <c r="A62" s="2" t="s">
        <v>243</v>
      </c>
      <c r="B62" s="2" t="s">
        <v>244</v>
      </c>
      <c r="C62" s="4">
        <v>1</v>
      </c>
      <c r="D62" s="2" t="s">
        <v>20</v>
      </c>
      <c r="E62" s="2" t="s">
        <v>241</v>
      </c>
      <c r="F62" s="2" t="s">
        <v>245</v>
      </c>
    </row>
    <row r="63" spans="1:6" x14ac:dyDescent="0.25">
      <c r="A63" s="2" t="s">
        <v>246</v>
      </c>
      <c r="B63" s="2" t="s">
        <v>247</v>
      </c>
      <c r="C63" s="4">
        <v>0.3</v>
      </c>
      <c r="D63" s="2" t="s">
        <v>20</v>
      </c>
      <c r="E63" s="2" t="s">
        <v>248</v>
      </c>
      <c r="F63" s="2" t="s">
        <v>249</v>
      </c>
    </row>
    <row r="64" spans="1:6" x14ac:dyDescent="0.25">
      <c r="A64" s="2" t="s">
        <v>250</v>
      </c>
      <c r="B64" s="2" t="s">
        <v>251</v>
      </c>
      <c r="C64" s="4">
        <v>1</v>
      </c>
      <c r="D64" s="2" t="s">
        <v>20</v>
      </c>
      <c r="E64" s="2" t="s">
        <v>241</v>
      </c>
      <c r="F64" s="2" t="s">
        <v>252</v>
      </c>
    </row>
    <row r="65" spans="1:6" ht="25.5" x14ac:dyDescent="0.25">
      <c r="A65" s="2" t="s">
        <v>253</v>
      </c>
      <c r="B65" s="2" t="s">
        <v>254</v>
      </c>
      <c r="C65" s="4">
        <v>0</v>
      </c>
      <c r="D65" s="2" t="s">
        <v>20</v>
      </c>
      <c r="E65" s="2" t="s">
        <v>241</v>
      </c>
      <c r="F65" s="2" t="s">
        <v>255</v>
      </c>
    </row>
    <row r="66" spans="1:6" ht="25.5" x14ac:dyDescent="0.25">
      <c r="A66" s="2" t="s">
        <v>256</v>
      </c>
      <c r="B66" s="2" t="s">
        <v>257</v>
      </c>
      <c r="C66" s="3">
        <v>3</v>
      </c>
      <c r="D66" s="2" t="s">
        <v>90</v>
      </c>
      <c r="E66" s="2" t="s">
        <v>258</v>
      </c>
      <c r="F66" s="2" t="s">
        <v>259</v>
      </c>
    </row>
    <row r="67" spans="1:6" x14ac:dyDescent="0.25">
      <c r="A67" s="2" t="s">
        <v>260</v>
      </c>
      <c r="B67" s="2" t="s">
        <v>261</v>
      </c>
      <c r="C67" s="5">
        <v>4</v>
      </c>
      <c r="D67" s="2" t="s">
        <v>262</v>
      </c>
      <c r="E67" s="2" t="s">
        <v>21</v>
      </c>
      <c r="F67" s="2" t="s">
        <v>263</v>
      </c>
    </row>
    <row r="68" spans="1:6" x14ac:dyDescent="0.25">
      <c r="A68" s="2" t="s">
        <v>264</v>
      </c>
      <c r="B68" s="2" t="s">
        <v>265</v>
      </c>
      <c r="C68" s="5">
        <v>1</v>
      </c>
      <c r="D68" s="2" t="s">
        <v>262</v>
      </c>
      <c r="E68" s="2" t="s">
        <v>21</v>
      </c>
      <c r="F68" s="2" t="s">
        <v>266</v>
      </c>
    </row>
    <row r="69" spans="1:6" x14ac:dyDescent="0.25">
      <c r="A69" s="2" t="s">
        <v>267</v>
      </c>
      <c r="B69" s="2" t="s">
        <v>268</v>
      </c>
      <c r="C69" s="5">
        <v>6</v>
      </c>
      <c r="D69" s="2" t="s">
        <v>262</v>
      </c>
      <c r="E69" s="2" t="s">
        <v>21</v>
      </c>
      <c r="F69" s="2" t="s">
        <v>269</v>
      </c>
    </row>
    <row r="70" spans="1:6" x14ac:dyDescent="0.25">
      <c r="A70" s="2" t="s">
        <v>270</v>
      </c>
      <c r="B70" s="2" t="s">
        <v>271</v>
      </c>
      <c r="C70" s="5">
        <v>1.5</v>
      </c>
      <c r="D70" s="2" t="s">
        <v>262</v>
      </c>
      <c r="E70" s="2" t="s">
        <v>21</v>
      </c>
      <c r="F70" s="2" t="s">
        <v>272</v>
      </c>
    </row>
    <row r="71" spans="1:6" x14ac:dyDescent="0.25">
      <c r="A71" s="2" t="s">
        <v>273</v>
      </c>
      <c r="B71" s="2" t="s">
        <v>274</v>
      </c>
      <c r="C71" s="3">
        <v>5</v>
      </c>
      <c r="D71" s="2" t="s">
        <v>15</v>
      </c>
      <c r="E71" s="2" t="s">
        <v>21</v>
      </c>
      <c r="F71" s="2" t="s">
        <v>275</v>
      </c>
    </row>
    <row r="72" spans="1:6" x14ac:dyDescent="0.25">
      <c r="A72" s="2" t="s">
        <v>276</v>
      </c>
      <c r="B72" s="2" t="s">
        <v>277</v>
      </c>
      <c r="C72" s="3">
        <v>15</v>
      </c>
      <c r="D72" s="2" t="s">
        <v>15</v>
      </c>
      <c r="E72" s="2" t="s">
        <v>21</v>
      </c>
      <c r="F72" s="2" t="s">
        <v>278</v>
      </c>
    </row>
    <row r="73" spans="1:6" x14ac:dyDescent="0.25">
      <c r="A73" s="2" t="s">
        <v>279</v>
      </c>
      <c r="B73" s="2" t="s">
        <v>280</v>
      </c>
      <c r="C73" s="4">
        <v>0.08</v>
      </c>
      <c r="D73" s="2" t="s">
        <v>20</v>
      </c>
      <c r="E73" s="2" t="s">
        <v>21</v>
      </c>
      <c r="F73" s="2" t="s">
        <v>281</v>
      </c>
    </row>
    <row r="74" spans="1:6" x14ac:dyDescent="0.25">
      <c r="A74" s="2" t="s">
        <v>282</v>
      </c>
      <c r="B74" s="2" t="s">
        <v>283</v>
      </c>
      <c r="C74" s="4">
        <v>0.12</v>
      </c>
      <c r="D74" s="2" t="s">
        <v>20</v>
      </c>
      <c r="E74" s="2" t="s">
        <v>21</v>
      </c>
      <c r="F74" s="2" t="s">
        <v>284</v>
      </c>
    </row>
    <row r="75" spans="1:6" ht="38.25" x14ac:dyDescent="0.25">
      <c r="A75" s="2" t="s">
        <v>285</v>
      </c>
      <c r="B75" s="2" t="s">
        <v>286</v>
      </c>
      <c r="C75" s="3">
        <v>25000</v>
      </c>
      <c r="D75" s="2" t="s">
        <v>203</v>
      </c>
      <c r="E75" s="2" t="s">
        <v>287</v>
      </c>
      <c r="F75" s="2" t="s">
        <v>288</v>
      </c>
    </row>
    <row r="76" spans="1:6" ht="25.5" x14ac:dyDescent="0.25">
      <c r="A76" s="2" t="s">
        <v>289</v>
      </c>
      <c r="B76" s="2" t="s">
        <v>290</v>
      </c>
      <c r="C76" s="3">
        <v>40000</v>
      </c>
      <c r="D76" s="2" t="s">
        <v>203</v>
      </c>
      <c r="E76" s="2" t="s">
        <v>291</v>
      </c>
      <c r="F76" s="2" t="s">
        <v>292</v>
      </c>
    </row>
    <row r="77" spans="1:6" x14ac:dyDescent="0.25">
      <c r="A77" s="2" t="s">
        <v>293</v>
      </c>
      <c r="B77" s="2" t="s">
        <v>294</v>
      </c>
      <c r="C77" s="3">
        <v>80000</v>
      </c>
      <c r="D77" s="2" t="s">
        <v>295</v>
      </c>
      <c r="E77" s="2" t="s">
        <v>21</v>
      </c>
      <c r="F77" s="2" t="s">
        <v>296</v>
      </c>
    </row>
    <row r="78" spans="1:6" x14ac:dyDescent="0.25">
      <c r="A78" s="2" t="s">
        <v>297</v>
      </c>
      <c r="B78" s="2" t="s">
        <v>298</v>
      </c>
      <c r="C78" s="3">
        <v>25000</v>
      </c>
      <c r="D78" s="2" t="s">
        <v>299</v>
      </c>
      <c r="E78" s="2" t="s">
        <v>21</v>
      </c>
      <c r="F78" s="2" t="s">
        <v>300</v>
      </c>
    </row>
    <row r="79" spans="1:6" x14ac:dyDescent="0.25">
      <c r="A79" s="2" t="s">
        <v>301</v>
      </c>
      <c r="B79" s="2" t="s">
        <v>302</v>
      </c>
      <c r="C79" s="5">
        <v>8</v>
      </c>
      <c r="D79" s="2" t="s">
        <v>303</v>
      </c>
      <c r="E79" s="2" t="s">
        <v>21</v>
      </c>
      <c r="F79" s="2" t="s">
        <v>304</v>
      </c>
    </row>
    <row r="80" spans="1:6" x14ac:dyDescent="0.25">
      <c r="A80" s="2" t="s">
        <v>305</v>
      </c>
      <c r="B80" s="2" t="s">
        <v>306</v>
      </c>
      <c r="C80" s="5">
        <v>20</v>
      </c>
      <c r="D80" s="2" t="s">
        <v>307</v>
      </c>
      <c r="E80" s="2" t="s">
        <v>21</v>
      </c>
      <c r="F80" s="2" t="s">
        <v>308</v>
      </c>
    </row>
    <row r="81" spans="1:6" x14ac:dyDescent="0.25">
      <c r="A81" s="2" t="s">
        <v>309</v>
      </c>
      <c r="B81" s="2" t="s">
        <v>310</v>
      </c>
      <c r="C81" s="3">
        <v>2500</v>
      </c>
      <c r="D81" s="2" t="s">
        <v>311</v>
      </c>
      <c r="E81" s="2" t="s">
        <v>21</v>
      </c>
      <c r="F81" s="2" t="s">
        <v>312</v>
      </c>
    </row>
    <row r="82" spans="1:6" x14ac:dyDescent="0.25">
      <c r="A82" s="2" t="s">
        <v>313</v>
      </c>
      <c r="B82" s="2" t="s">
        <v>314</v>
      </c>
      <c r="C82" s="3">
        <v>15000</v>
      </c>
      <c r="D82" s="2" t="s">
        <v>295</v>
      </c>
      <c r="E82" s="2" t="s">
        <v>21</v>
      </c>
      <c r="F82" s="2" t="s">
        <v>315</v>
      </c>
    </row>
    <row r="83" spans="1:6" x14ac:dyDescent="0.25">
      <c r="A83" s="2" t="s">
        <v>316</v>
      </c>
      <c r="B83" s="2" t="s">
        <v>317</v>
      </c>
      <c r="C83" s="3">
        <v>5000</v>
      </c>
      <c r="D83" s="2" t="s">
        <v>203</v>
      </c>
      <c r="E83" s="2" t="s">
        <v>21</v>
      </c>
      <c r="F83" s="2" t="s">
        <v>318</v>
      </c>
    </row>
    <row r="84" spans="1:6" x14ac:dyDescent="0.25">
      <c r="A84" s="2" t="s">
        <v>319</v>
      </c>
      <c r="B84" s="2" t="s">
        <v>320</v>
      </c>
      <c r="C84" s="3">
        <v>24</v>
      </c>
      <c r="D84" s="2" t="s">
        <v>321</v>
      </c>
      <c r="E84" s="2" t="s">
        <v>21</v>
      </c>
      <c r="F84" s="2" t="s">
        <v>322</v>
      </c>
    </row>
    <row r="85" spans="1:6" ht="25.5" x14ac:dyDescent="0.25">
      <c r="A85" s="2" t="s">
        <v>323</v>
      </c>
      <c r="B85" s="2" t="s">
        <v>324</v>
      </c>
      <c r="C85" s="3">
        <v>720</v>
      </c>
      <c r="D85" s="2" t="s">
        <v>325</v>
      </c>
      <c r="E85" s="2" t="s">
        <v>326</v>
      </c>
      <c r="F85" s="2" t="s">
        <v>327</v>
      </c>
    </row>
    <row r="86" spans="1:6" ht="25.5" x14ac:dyDescent="0.25">
      <c r="A86" s="2" t="s">
        <v>328</v>
      </c>
      <c r="B86" s="2" t="s">
        <v>329</v>
      </c>
      <c r="C86" s="5">
        <v>720</v>
      </c>
      <c r="D86" s="2" t="s">
        <v>30</v>
      </c>
      <c r="E86" s="2" t="s">
        <v>330</v>
      </c>
      <c r="F86" s="2" t="s">
        <v>331</v>
      </c>
    </row>
    <row r="87" spans="1:6" ht="25.5" x14ac:dyDescent="0.25">
      <c r="A87" s="2" t="s">
        <v>332</v>
      </c>
      <c r="B87" s="2" t="s">
        <v>333</v>
      </c>
      <c r="C87" s="3">
        <v>0.52</v>
      </c>
      <c r="D87" s="2" t="s">
        <v>334</v>
      </c>
      <c r="E87" s="2" t="s">
        <v>335</v>
      </c>
      <c r="F87" s="2" t="s">
        <v>336</v>
      </c>
    </row>
    <row r="88" spans="1:6" ht="25.5" x14ac:dyDescent="0.25">
      <c r="A88" s="2" t="s">
        <v>337</v>
      </c>
      <c r="B88" s="2" t="s">
        <v>338</v>
      </c>
      <c r="C88" s="3">
        <v>1.24</v>
      </c>
      <c r="D88" s="2" t="s">
        <v>334</v>
      </c>
      <c r="E88" s="2" t="s">
        <v>339</v>
      </c>
      <c r="F88" s="2" t="s">
        <v>336</v>
      </c>
    </row>
    <row r="89" spans="1:6" ht="25.5" x14ac:dyDescent="0.25">
      <c r="A89" s="2" t="s">
        <v>340</v>
      </c>
      <c r="B89" s="2" t="s">
        <v>341</v>
      </c>
      <c r="C89" s="3">
        <v>0.33</v>
      </c>
      <c r="D89" s="2" t="s">
        <v>342</v>
      </c>
      <c r="E89" s="2" t="s">
        <v>343</v>
      </c>
      <c r="F89" s="2" t="s">
        <v>344</v>
      </c>
    </row>
    <row r="90" spans="1:6" ht="25.5" x14ac:dyDescent="0.25">
      <c r="A90" s="2" t="s">
        <v>345</v>
      </c>
      <c r="B90" s="2" t="s">
        <v>346</v>
      </c>
      <c r="C90" s="3">
        <v>1.9900000000000001E-2</v>
      </c>
      <c r="D90" s="2" t="s">
        <v>342</v>
      </c>
      <c r="E90" s="2" t="s">
        <v>347</v>
      </c>
      <c r="F90" s="2" t="s">
        <v>348</v>
      </c>
    </row>
    <row r="91" spans="1:6" ht="25.5" x14ac:dyDescent="0.25">
      <c r="A91" s="2" t="s">
        <v>349</v>
      </c>
      <c r="B91" s="2" t="s">
        <v>350</v>
      </c>
      <c r="C91" s="3">
        <v>199</v>
      </c>
      <c r="D91" s="2" t="s">
        <v>351</v>
      </c>
      <c r="E91" s="2" t="s">
        <v>352</v>
      </c>
      <c r="F91" s="2" t="s">
        <v>353</v>
      </c>
    </row>
    <row r="92" spans="1:6" ht="25.5" x14ac:dyDescent="0.25">
      <c r="A92" s="2" t="s">
        <v>354</v>
      </c>
      <c r="B92" s="2" t="s">
        <v>355</v>
      </c>
      <c r="C92" s="3">
        <v>399</v>
      </c>
      <c r="D92" s="2" t="s">
        <v>351</v>
      </c>
      <c r="E92" s="2" t="s">
        <v>352</v>
      </c>
      <c r="F92" s="2" t="s">
        <v>356</v>
      </c>
    </row>
    <row r="93" spans="1:6" ht="25.5" x14ac:dyDescent="0.25">
      <c r="A93" s="2" t="s">
        <v>357</v>
      </c>
      <c r="B93" s="2" t="s">
        <v>358</v>
      </c>
      <c r="C93" s="3">
        <v>200000</v>
      </c>
      <c r="D93" s="2" t="s">
        <v>25</v>
      </c>
      <c r="E93" s="2" t="s">
        <v>359</v>
      </c>
      <c r="F93" s="2" t="s">
        <v>360</v>
      </c>
    </row>
    <row r="94" spans="1:6" ht="25.5" x14ac:dyDescent="0.25">
      <c r="A94" s="2" t="s">
        <v>361</v>
      </c>
      <c r="B94" s="2" t="s">
        <v>362</v>
      </c>
      <c r="C94" s="3">
        <v>150000</v>
      </c>
      <c r="D94" s="2" t="s">
        <v>198</v>
      </c>
      <c r="E94" s="2" t="s">
        <v>363</v>
      </c>
      <c r="F94" s="2" t="s">
        <v>364</v>
      </c>
    </row>
    <row r="95" spans="1:6" ht="25.5" x14ac:dyDescent="0.25">
      <c r="A95" s="2" t="s">
        <v>365</v>
      </c>
      <c r="B95" s="2" t="s">
        <v>366</v>
      </c>
      <c r="C95" s="3">
        <v>1.3</v>
      </c>
      <c r="D95" s="2" t="s">
        <v>367</v>
      </c>
      <c r="E95" s="2" t="s">
        <v>21</v>
      </c>
      <c r="F95" s="2" t="s">
        <v>368</v>
      </c>
    </row>
    <row r="96" spans="1:6" x14ac:dyDescent="0.25">
      <c r="A96" s="2" t="s">
        <v>369</v>
      </c>
      <c r="B96" s="2" t="s">
        <v>370</v>
      </c>
      <c r="C96" s="4">
        <v>0.1</v>
      </c>
      <c r="D96" s="2" t="s">
        <v>371</v>
      </c>
      <c r="E96" s="2" t="s">
        <v>21</v>
      </c>
      <c r="F96" s="2" t="s">
        <v>372</v>
      </c>
    </row>
    <row r="97" spans="1:6" x14ac:dyDescent="0.25">
      <c r="A97" s="2" t="s">
        <v>373</v>
      </c>
      <c r="B97" s="2" t="s">
        <v>374</v>
      </c>
      <c r="C97" s="3">
        <v>20</v>
      </c>
      <c r="D97" s="2" t="s">
        <v>137</v>
      </c>
      <c r="E97" s="2" t="s">
        <v>21</v>
      </c>
      <c r="F97" s="2" t="s">
        <v>375</v>
      </c>
    </row>
    <row r="98" spans="1:6" x14ac:dyDescent="0.25">
      <c r="A98" s="2" t="s">
        <v>376</v>
      </c>
      <c r="B98" s="2" t="s">
        <v>377</v>
      </c>
      <c r="C98" s="5">
        <v>6</v>
      </c>
      <c r="D98" s="2" t="s">
        <v>142</v>
      </c>
      <c r="E98" s="2" t="s">
        <v>21</v>
      </c>
      <c r="F98" s="2" t="s">
        <v>378</v>
      </c>
    </row>
    <row r="99" spans="1:6" x14ac:dyDescent="0.25">
      <c r="A99" s="2" t="s">
        <v>379</v>
      </c>
      <c r="B99" s="2" t="s">
        <v>380</v>
      </c>
      <c r="C99" s="3">
        <v>3</v>
      </c>
      <c r="D99" s="2" t="s">
        <v>146</v>
      </c>
      <c r="E99" s="2" t="s">
        <v>21</v>
      </c>
      <c r="F99" s="2" t="s">
        <v>381</v>
      </c>
    </row>
    <row r="100" spans="1:6" ht="25.5" x14ac:dyDescent="0.25">
      <c r="A100" s="2" t="s">
        <v>382</v>
      </c>
      <c r="B100" s="2" t="s">
        <v>383</v>
      </c>
      <c r="C100" s="3">
        <v>0.25</v>
      </c>
      <c r="D100" s="2" t="s">
        <v>384</v>
      </c>
      <c r="E100" s="2" t="s">
        <v>385</v>
      </c>
      <c r="F100" s="2" t="s">
        <v>386</v>
      </c>
    </row>
    <row r="101" spans="1:6" x14ac:dyDescent="0.25">
      <c r="A101" s="2" t="s">
        <v>387</v>
      </c>
      <c r="B101" s="2" t="s">
        <v>388</v>
      </c>
      <c r="C101" s="5">
        <v>0.25</v>
      </c>
      <c r="D101" s="2" t="s">
        <v>389</v>
      </c>
      <c r="E101" s="2" t="s">
        <v>21</v>
      </c>
      <c r="F101" s="2" t="s">
        <v>390</v>
      </c>
    </row>
    <row r="102" spans="1:6" x14ac:dyDescent="0.25">
      <c r="A102" s="2" t="s">
        <v>391</v>
      </c>
      <c r="B102" s="2" t="s">
        <v>392</v>
      </c>
      <c r="C102" s="3">
        <v>10000</v>
      </c>
      <c r="D102" s="2" t="s">
        <v>198</v>
      </c>
      <c r="E102" s="2" t="s">
        <v>21</v>
      </c>
      <c r="F102" s="2" t="s">
        <v>393</v>
      </c>
    </row>
    <row r="103" spans="1:6" ht="25.5" x14ac:dyDescent="0.25">
      <c r="A103" s="2" t="s">
        <v>394</v>
      </c>
      <c r="B103" s="2" t="s">
        <v>395</v>
      </c>
      <c r="C103" s="3">
        <v>40</v>
      </c>
      <c r="D103" s="2" t="s">
        <v>137</v>
      </c>
      <c r="E103" s="2" t="s">
        <v>21</v>
      </c>
      <c r="F103" s="2" t="s">
        <v>396</v>
      </c>
    </row>
    <row r="104" spans="1:6" x14ac:dyDescent="0.25">
      <c r="A104" s="2" t="s">
        <v>397</v>
      </c>
      <c r="B104" s="2" t="s">
        <v>398</v>
      </c>
      <c r="C104" s="5">
        <v>12</v>
      </c>
      <c r="D104" s="2" t="s">
        <v>142</v>
      </c>
      <c r="E104" s="2" t="s">
        <v>21</v>
      </c>
      <c r="F104" s="2" t="s">
        <v>399</v>
      </c>
    </row>
    <row r="105" spans="1:6" x14ac:dyDescent="0.25">
      <c r="A105" s="2" t="s">
        <v>400</v>
      </c>
      <c r="B105" s="2" t="s">
        <v>401</v>
      </c>
      <c r="C105" s="3">
        <v>6</v>
      </c>
      <c r="D105" s="2" t="s">
        <v>146</v>
      </c>
      <c r="E105" s="2" t="s">
        <v>21</v>
      </c>
      <c r="F105" s="2" t="s">
        <v>381</v>
      </c>
    </row>
    <row r="106" spans="1:6" ht="25.5" x14ac:dyDescent="0.25">
      <c r="A106" s="2" t="s">
        <v>402</v>
      </c>
      <c r="B106" s="2" t="s">
        <v>403</v>
      </c>
      <c r="C106" s="3">
        <v>0.25</v>
      </c>
      <c r="D106" s="2" t="s">
        <v>384</v>
      </c>
      <c r="E106" s="2" t="s">
        <v>385</v>
      </c>
      <c r="F106" s="2" t="s">
        <v>404</v>
      </c>
    </row>
    <row r="107" spans="1:6" x14ac:dyDescent="0.25">
      <c r="A107" s="2" t="s">
        <v>405</v>
      </c>
      <c r="B107" s="2" t="s">
        <v>406</v>
      </c>
      <c r="C107" s="5">
        <v>0.25</v>
      </c>
      <c r="D107" s="2" t="s">
        <v>389</v>
      </c>
      <c r="E107" s="2" t="s">
        <v>21</v>
      </c>
      <c r="F107" s="2" t="s">
        <v>407</v>
      </c>
    </row>
    <row r="108" spans="1:6" x14ac:dyDescent="0.25">
      <c r="A108" s="2" t="s">
        <v>408</v>
      </c>
      <c r="B108" s="2" t="s">
        <v>409</v>
      </c>
      <c r="C108" s="3">
        <v>10000</v>
      </c>
      <c r="D108" s="2" t="s">
        <v>198</v>
      </c>
      <c r="E108" s="2" t="s">
        <v>21</v>
      </c>
      <c r="F108" s="2" t="s">
        <v>410</v>
      </c>
    </row>
    <row r="109" spans="1:6" ht="25.5" x14ac:dyDescent="0.25">
      <c r="A109" s="2" t="s">
        <v>411</v>
      </c>
      <c r="B109" s="2" t="s">
        <v>412</v>
      </c>
      <c r="C109" s="3">
        <v>2</v>
      </c>
      <c r="D109" s="2" t="s">
        <v>321</v>
      </c>
      <c r="E109" s="2" t="s">
        <v>413</v>
      </c>
      <c r="F109" s="2" t="s">
        <v>414</v>
      </c>
    </row>
    <row r="110" spans="1:6" x14ac:dyDescent="0.25">
      <c r="A110" s="2" t="s">
        <v>415</v>
      </c>
      <c r="B110" s="2" t="s">
        <v>416</v>
      </c>
      <c r="C110" s="3">
        <v>1</v>
      </c>
      <c r="D110" s="2" t="s">
        <v>417</v>
      </c>
      <c r="E110" s="2" t="s">
        <v>21</v>
      </c>
      <c r="F110" s="2" t="s">
        <v>418</v>
      </c>
    </row>
    <row r="111" spans="1:6" x14ac:dyDescent="0.25">
      <c r="A111" s="2" t="s">
        <v>419</v>
      </c>
      <c r="B111" s="2" t="s">
        <v>420</v>
      </c>
      <c r="C111" s="3">
        <v>2</v>
      </c>
      <c r="D111" s="2" t="s">
        <v>421</v>
      </c>
      <c r="E111" s="2" t="s">
        <v>21</v>
      </c>
      <c r="F111" s="2" t="s">
        <v>422</v>
      </c>
    </row>
    <row r="112" spans="1:6" x14ac:dyDescent="0.25">
      <c r="A112" s="2" t="s">
        <v>423</v>
      </c>
      <c r="B112" s="2" t="s">
        <v>424</v>
      </c>
      <c r="C112" s="3">
        <v>0.52</v>
      </c>
      <c r="D112" s="2" t="s">
        <v>334</v>
      </c>
      <c r="E112" s="2" t="s">
        <v>425</v>
      </c>
      <c r="F112" s="2" t="s">
        <v>426</v>
      </c>
    </row>
    <row r="113" spans="1:6" x14ac:dyDescent="0.25">
      <c r="A113" s="2" t="s">
        <v>427</v>
      </c>
      <c r="B113" s="2" t="s">
        <v>428</v>
      </c>
      <c r="C113" s="3">
        <v>2</v>
      </c>
      <c r="D113" s="2" t="s">
        <v>429</v>
      </c>
      <c r="E113" s="2" t="s">
        <v>430</v>
      </c>
      <c r="F113" s="2" t="s">
        <v>431</v>
      </c>
    </row>
    <row r="114" spans="1:6" x14ac:dyDescent="0.25">
      <c r="A114" s="2" t="s">
        <v>432</v>
      </c>
      <c r="B114" s="2" t="s">
        <v>433</v>
      </c>
      <c r="C114" s="3">
        <v>20</v>
      </c>
      <c r="D114" s="2" t="s">
        <v>429</v>
      </c>
      <c r="E114" s="2" t="s">
        <v>21</v>
      </c>
      <c r="F114" s="2" t="s">
        <v>434</v>
      </c>
    </row>
    <row r="115" spans="1:6" ht="25.5" x14ac:dyDescent="0.25">
      <c r="A115" s="2" t="s">
        <v>435</v>
      </c>
      <c r="B115" s="2" t="s">
        <v>436</v>
      </c>
      <c r="C115" s="3">
        <v>1000</v>
      </c>
      <c r="D115" s="2" t="s">
        <v>198</v>
      </c>
      <c r="E115" s="2" t="s">
        <v>437</v>
      </c>
      <c r="F115" s="2" t="s">
        <v>438</v>
      </c>
    </row>
    <row r="116" spans="1:6" x14ac:dyDescent="0.25">
      <c r="A116" s="2" t="s">
        <v>439</v>
      </c>
      <c r="B116" s="2" t="s">
        <v>440</v>
      </c>
      <c r="C116" s="3">
        <v>1000</v>
      </c>
      <c r="D116" s="2" t="s">
        <v>198</v>
      </c>
      <c r="E116" s="2" t="s">
        <v>21</v>
      </c>
      <c r="F116" s="2" t="s">
        <v>441</v>
      </c>
    </row>
    <row r="117" spans="1:6" x14ac:dyDescent="0.25">
      <c r="A117" s="2" t="s">
        <v>442</v>
      </c>
      <c r="B117" s="2" t="s">
        <v>443</v>
      </c>
      <c r="C117" s="3">
        <v>199</v>
      </c>
      <c r="D117" s="2" t="s">
        <v>444</v>
      </c>
      <c r="E117" s="2" t="s">
        <v>445</v>
      </c>
      <c r="F117" s="2" t="s">
        <v>446</v>
      </c>
    </row>
    <row r="118" spans="1:6" x14ac:dyDescent="0.25">
      <c r="A118" s="2" t="s">
        <v>447</v>
      </c>
      <c r="B118" s="2" t="s">
        <v>448</v>
      </c>
      <c r="C118" s="3">
        <v>2</v>
      </c>
      <c r="D118" s="2" t="s">
        <v>321</v>
      </c>
      <c r="E118" s="2" t="s">
        <v>21</v>
      </c>
      <c r="F118" s="2" t="s">
        <v>449</v>
      </c>
    </row>
    <row r="119" spans="1:6" x14ac:dyDescent="0.25">
      <c r="A119" s="2" t="s">
        <v>450</v>
      </c>
      <c r="B119" s="2" t="s">
        <v>451</v>
      </c>
      <c r="C119" s="3">
        <v>1</v>
      </c>
      <c r="D119" s="2" t="s">
        <v>452</v>
      </c>
      <c r="E119" s="2" t="s">
        <v>21</v>
      </c>
      <c r="F119" s="2" t="s">
        <v>453</v>
      </c>
    </row>
    <row r="120" spans="1:6" x14ac:dyDescent="0.25">
      <c r="A120" s="2" t="s">
        <v>454</v>
      </c>
      <c r="B120" s="2" t="s">
        <v>455</v>
      </c>
      <c r="C120" s="5">
        <v>0.5</v>
      </c>
      <c r="D120" s="2" t="s">
        <v>389</v>
      </c>
      <c r="E120" s="2" t="s">
        <v>21</v>
      </c>
      <c r="F120" s="2" t="s">
        <v>456</v>
      </c>
    </row>
    <row r="121" spans="1:6" x14ac:dyDescent="0.25">
      <c r="A121" s="2" t="s">
        <v>457</v>
      </c>
      <c r="B121" s="2" t="s">
        <v>458</v>
      </c>
      <c r="C121" s="3">
        <v>1</v>
      </c>
      <c r="D121" s="2" t="s">
        <v>417</v>
      </c>
      <c r="E121" s="2" t="s">
        <v>21</v>
      </c>
      <c r="F121" s="2" t="s">
        <v>459</v>
      </c>
    </row>
    <row r="122" spans="1:6" x14ac:dyDescent="0.25">
      <c r="A122" s="2" t="s">
        <v>460</v>
      </c>
      <c r="B122" s="2" t="s">
        <v>461</v>
      </c>
      <c r="C122" s="3">
        <v>2</v>
      </c>
      <c r="D122" s="2" t="s">
        <v>421</v>
      </c>
      <c r="E122" s="2" t="s">
        <v>21</v>
      </c>
      <c r="F122" s="2" t="s">
        <v>462</v>
      </c>
    </row>
    <row r="123" spans="1:6" x14ac:dyDescent="0.25">
      <c r="A123" s="2" t="s">
        <v>463</v>
      </c>
      <c r="B123" s="2" t="s">
        <v>464</v>
      </c>
      <c r="C123" s="3">
        <v>1.24</v>
      </c>
      <c r="D123" s="2" t="s">
        <v>334</v>
      </c>
      <c r="E123" s="2" t="s">
        <v>465</v>
      </c>
      <c r="F123" s="2" t="s">
        <v>466</v>
      </c>
    </row>
    <row r="124" spans="1:6" x14ac:dyDescent="0.25">
      <c r="A124" s="2" t="s">
        <v>467</v>
      </c>
      <c r="B124" s="2" t="s">
        <v>468</v>
      </c>
      <c r="C124" s="3">
        <v>4</v>
      </c>
      <c r="D124" s="2" t="s">
        <v>429</v>
      </c>
      <c r="E124" s="2" t="s">
        <v>21</v>
      </c>
      <c r="F124" s="2" t="s">
        <v>469</v>
      </c>
    </row>
    <row r="125" spans="1:6" x14ac:dyDescent="0.25">
      <c r="A125" s="2" t="s">
        <v>470</v>
      </c>
      <c r="B125" s="2" t="s">
        <v>471</v>
      </c>
      <c r="C125" s="3">
        <v>50</v>
      </c>
      <c r="D125" s="2" t="s">
        <v>429</v>
      </c>
      <c r="E125" s="2" t="s">
        <v>21</v>
      </c>
      <c r="F125" s="2" t="s">
        <v>472</v>
      </c>
    </row>
    <row r="126" spans="1:6" x14ac:dyDescent="0.25">
      <c r="A126" s="2" t="s">
        <v>473</v>
      </c>
      <c r="B126" s="2" t="s">
        <v>474</v>
      </c>
      <c r="C126" s="3">
        <v>3000</v>
      </c>
      <c r="D126" s="2" t="s">
        <v>198</v>
      </c>
      <c r="E126" s="2" t="s">
        <v>437</v>
      </c>
      <c r="F126" s="2" t="s">
        <v>475</v>
      </c>
    </row>
    <row r="127" spans="1:6" x14ac:dyDescent="0.25">
      <c r="A127" s="2" t="s">
        <v>476</v>
      </c>
      <c r="B127" s="2" t="s">
        <v>477</v>
      </c>
      <c r="C127" s="3">
        <v>2000</v>
      </c>
      <c r="D127" s="2" t="s">
        <v>198</v>
      </c>
      <c r="E127" s="2" t="s">
        <v>21</v>
      </c>
      <c r="F127" s="2" t="s">
        <v>478</v>
      </c>
    </row>
    <row r="128" spans="1:6" x14ac:dyDescent="0.25">
      <c r="A128" s="2" t="s">
        <v>479</v>
      </c>
      <c r="B128" s="2" t="s">
        <v>480</v>
      </c>
      <c r="C128" s="3">
        <v>0</v>
      </c>
      <c r="D128" s="2" t="s">
        <v>384</v>
      </c>
      <c r="E128" s="2" t="s">
        <v>481</v>
      </c>
      <c r="F128" s="2" t="s">
        <v>482</v>
      </c>
    </row>
    <row r="129" spans="1:6" x14ac:dyDescent="0.25">
      <c r="A129" s="2" t="s">
        <v>483</v>
      </c>
      <c r="B129" s="2" t="s">
        <v>484</v>
      </c>
      <c r="C129" s="3">
        <v>12</v>
      </c>
      <c r="D129" s="2" t="s">
        <v>321</v>
      </c>
      <c r="E129" s="2" t="s">
        <v>21</v>
      </c>
      <c r="F129" s="2" t="s">
        <v>485</v>
      </c>
    </row>
    <row r="130" spans="1:6" x14ac:dyDescent="0.25">
      <c r="A130" s="2" t="s">
        <v>486</v>
      </c>
      <c r="B130" s="2" t="s">
        <v>487</v>
      </c>
      <c r="C130" s="3">
        <v>1</v>
      </c>
      <c r="D130" s="2" t="s">
        <v>452</v>
      </c>
      <c r="E130" s="2" t="s">
        <v>21</v>
      </c>
      <c r="F130" s="2" t="s">
        <v>453</v>
      </c>
    </row>
    <row r="131" spans="1:6" x14ac:dyDescent="0.25">
      <c r="A131" s="2" t="s">
        <v>488</v>
      </c>
      <c r="B131" s="2" t="s">
        <v>489</v>
      </c>
      <c r="C131" s="5">
        <v>0.5</v>
      </c>
      <c r="D131" s="2" t="s">
        <v>389</v>
      </c>
      <c r="E131" s="2" t="s">
        <v>21</v>
      </c>
      <c r="F131" s="2" t="s">
        <v>456</v>
      </c>
    </row>
    <row r="132" spans="1:6" x14ac:dyDescent="0.25">
      <c r="A132" s="2" t="s">
        <v>490</v>
      </c>
      <c r="B132" s="2" t="s">
        <v>491</v>
      </c>
      <c r="C132" s="3">
        <v>1</v>
      </c>
      <c r="D132" s="2" t="s">
        <v>417</v>
      </c>
      <c r="E132" s="2" t="s">
        <v>21</v>
      </c>
      <c r="F132" s="2" t="s">
        <v>492</v>
      </c>
    </row>
    <row r="133" spans="1:6" x14ac:dyDescent="0.25">
      <c r="A133" s="2" t="s">
        <v>493</v>
      </c>
      <c r="B133" s="2" t="s">
        <v>494</v>
      </c>
      <c r="C133" s="3">
        <v>2</v>
      </c>
      <c r="D133" s="2" t="s">
        <v>421</v>
      </c>
      <c r="E133" s="2" t="s">
        <v>21</v>
      </c>
      <c r="F133" s="2" t="s">
        <v>495</v>
      </c>
    </row>
    <row r="134" spans="1:6" x14ac:dyDescent="0.25">
      <c r="A134" s="2" t="s">
        <v>496</v>
      </c>
      <c r="B134" s="2" t="s">
        <v>497</v>
      </c>
      <c r="C134" s="3">
        <v>1.24</v>
      </c>
      <c r="D134" s="2" t="s">
        <v>334</v>
      </c>
      <c r="E134" s="2" t="s">
        <v>465</v>
      </c>
      <c r="F134" s="2" t="s">
        <v>466</v>
      </c>
    </row>
    <row r="135" spans="1:6" x14ac:dyDescent="0.25">
      <c r="A135" s="2" t="s">
        <v>498</v>
      </c>
      <c r="B135" s="2" t="s">
        <v>499</v>
      </c>
      <c r="C135" s="3">
        <v>4</v>
      </c>
      <c r="D135" s="2" t="s">
        <v>429</v>
      </c>
      <c r="E135" s="2" t="s">
        <v>21</v>
      </c>
      <c r="F135" s="2" t="s">
        <v>495</v>
      </c>
    </row>
    <row r="136" spans="1:6" x14ac:dyDescent="0.25">
      <c r="A136" s="2" t="s">
        <v>500</v>
      </c>
      <c r="B136" s="2" t="s">
        <v>501</v>
      </c>
      <c r="C136" s="3">
        <v>100</v>
      </c>
      <c r="D136" s="2" t="s">
        <v>429</v>
      </c>
      <c r="E136" s="2" t="s">
        <v>21</v>
      </c>
      <c r="F136" s="2" t="s">
        <v>502</v>
      </c>
    </row>
    <row r="137" spans="1:6" x14ac:dyDescent="0.25">
      <c r="A137" s="2" t="s">
        <v>503</v>
      </c>
      <c r="B137" s="2" t="s">
        <v>504</v>
      </c>
      <c r="C137" s="3">
        <v>5000</v>
      </c>
      <c r="D137" s="2" t="s">
        <v>198</v>
      </c>
      <c r="E137" s="2" t="s">
        <v>437</v>
      </c>
      <c r="F137" s="2" t="s">
        <v>505</v>
      </c>
    </row>
    <row r="138" spans="1:6" x14ac:dyDescent="0.25">
      <c r="A138" s="2" t="s">
        <v>506</v>
      </c>
      <c r="B138" s="2" t="s">
        <v>507</v>
      </c>
      <c r="C138" s="3">
        <v>5000</v>
      </c>
      <c r="D138" s="2" t="s">
        <v>198</v>
      </c>
      <c r="E138" s="2" t="s">
        <v>21</v>
      </c>
      <c r="F138" s="2" t="s">
        <v>508</v>
      </c>
    </row>
    <row r="139" spans="1:6" ht="25.5" x14ac:dyDescent="0.25">
      <c r="A139" s="2" t="s">
        <v>509</v>
      </c>
      <c r="B139" s="2" t="s">
        <v>510</v>
      </c>
      <c r="C139" s="3">
        <v>0.25</v>
      </c>
      <c r="D139" s="2" t="s">
        <v>384</v>
      </c>
      <c r="E139" s="2" t="s">
        <v>385</v>
      </c>
      <c r="F139" s="2" t="s">
        <v>511</v>
      </c>
    </row>
    <row r="140" spans="1:6" ht="25.5" x14ac:dyDescent="0.25">
      <c r="A140" s="2" t="s">
        <v>512</v>
      </c>
      <c r="B140" s="2" t="s">
        <v>513</v>
      </c>
      <c r="C140" s="5">
        <v>0.25</v>
      </c>
      <c r="D140" s="2" t="s">
        <v>389</v>
      </c>
      <c r="E140" s="2" t="s">
        <v>21</v>
      </c>
      <c r="F140" s="2" t="s">
        <v>514</v>
      </c>
    </row>
    <row r="141" spans="1:6" ht="25.5" x14ac:dyDescent="0.25">
      <c r="A141" s="2" t="s">
        <v>515</v>
      </c>
      <c r="B141" s="2" t="s">
        <v>516</v>
      </c>
      <c r="C141" s="3">
        <v>10000</v>
      </c>
      <c r="D141" s="2" t="s">
        <v>198</v>
      </c>
      <c r="E141" s="2" t="s">
        <v>21</v>
      </c>
      <c r="F141" s="2" t="s">
        <v>517</v>
      </c>
    </row>
    <row r="142" spans="1:6" x14ac:dyDescent="0.25">
      <c r="A142" s="2" t="s">
        <v>518</v>
      </c>
      <c r="B142" s="2" t="s">
        <v>519</v>
      </c>
      <c r="C142" s="3">
        <v>12</v>
      </c>
      <c r="D142" s="2" t="s">
        <v>321</v>
      </c>
      <c r="E142" s="2" t="s">
        <v>21</v>
      </c>
      <c r="F142" s="2" t="s">
        <v>520</v>
      </c>
    </row>
    <row r="143" spans="1:6" x14ac:dyDescent="0.25">
      <c r="A143" s="2" t="s">
        <v>521</v>
      </c>
      <c r="B143" s="2" t="s">
        <v>522</v>
      </c>
      <c r="C143" s="3">
        <v>2</v>
      </c>
      <c r="D143" s="2" t="s">
        <v>452</v>
      </c>
      <c r="E143" s="2" t="s">
        <v>21</v>
      </c>
      <c r="F143" s="2" t="s">
        <v>523</v>
      </c>
    </row>
    <row r="144" spans="1:6" x14ac:dyDescent="0.25">
      <c r="A144" s="2" t="s">
        <v>524</v>
      </c>
      <c r="B144" s="2" t="s">
        <v>525</v>
      </c>
      <c r="C144" s="5">
        <v>0.5</v>
      </c>
      <c r="D144" s="2" t="s">
        <v>389</v>
      </c>
      <c r="E144" s="2" t="s">
        <v>21</v>
      </c>
      <c r="F144" s="2" t="s">
        <v>526</v>
      </c>
    </row>
    <row r="145" spans="1:6" x14ac:dyDescent="0.25">
      <c r="A145" s="2" t="s">
        <v>527</v>
      </c>
      <c r="B145" s="2" t="s">
        <v>528</v>
      </c>
      <c r="C145" s="3">
        <v>2</v>
      </c>
      <c r="D145" s="2" t="s">
        <v>417</v>
      </c>
      <c r="E145" s="2" t="s">
        <v>21</v>
      </c>
      <c r="F145" s="2" t="s">
        <v>529</v>
      </c>
    </row>
    <row r="146" spans="1:6" x14ac:dyDescent="0.25">
      <c r="A146" s="2" t="s">
        <v>530</v>
      </c>
      <c r="B146" s="2" t="s">
        <v>531</v>
      </c>
      <c r="C146" s="3">
        <v>2</v>
      </c>
      <c r="D146" s="2" t="s">
        <v>421</v>
      </c>
      <c r="E146" s="2" t="s">
        <v>21</v>
      </c>
      <c r="F146" s="2" t="s">
        <v>495</v>
      </c>
    </row>
    <row r="147" spans="1:6" x14ac:dyDescent="0.25">
      <c r="A147" s="2" t="s">
        <v>532</v>
      </c>
      <c r="B147" s="2" t="s">
        <v>533</v>
      </c>
      <c r="C147" s="3">
        <v>1.24</v>
      </c>
      <c r="D147" s="2" t="s">
        <v>334</v>
      </c>
      <c r="E147" s="2" t="s">
        <v>465</v>
      </c>
      <c r="F147" s="2" t="s">
        <v>466</v>
      </c>
    </row>
    <row r="148" spans="1:6" x14ac:dyDescent="0.25">
      <c r="A148" s="2" t="s">
        <v>534</v>
      </c>
      <c r="B148" s="2" t="s">
        <v>535</v>
      </c>
      <c r="C148" s="3">
        <v>4</v>
      </c>
      <c r="D148" s="2" t="s">
        <v>429</v>
      </c>
      <c r="E148" s="2" t="s">
        <v>21</v>
      </c>
      <c r="F148" s="2" t="s">
        <v>495</v>
      </c>
    </row>
    <row r="149" spans="1:6" x14ac:dyDescent="0.25">
      <c r="A149" s="2" t="s">
        <v>536</v>
      </c>
      <c r="B149" s="2" t="s">
        <v>537</v>
      </c>
      <c r="C149" s="3">
        <v>200</v>
      </c>
      <c r="D149" s="2" t="s">
        <v>429</v>
      </c>
      <c r="E149" s="2" t="s">
        <v>21</v>
      </c>
      <c r="F149" s="2" t="s">
        <v>538</v>
      </c>
    </row>
    <row r="150" spans="1:6" x14ac:dyDescent="0.25">
      <c r="A150" s="2" t="s">
        <v>539</v>
      </c>
      <c r="B150" s="2" t="s">
        <v>540</v>
      </c>
      <c r="C150" s="3">
        <v>10000</v>
      </c>
      <c r="D150" s="2" t="s">
        <v>198</v>
      </c>
      <c r="E150" s="2" t="s">
        <v>437</v>
      </c>
      <c r="F150" s="2" t="s">
        <v>541</v>
      </c>
    </row>
    <row r="151" spans="1:6" x14ac:dyDescent="0.25">
      <c r="A151" s="2" t="s">
        <v>542</v>
      </c>
      <c r="B151" s="2" t="s">
        <v>543</v>
      </c>
      <c r="C151" s="3">
        <v>10000</v>
      </c>
      <c r="D151" s="2" t="s">
        <v>198</v>
      </c>
      <c r="E151" s="2" t="s">
        <v>21</v>
      </c>
      <c r="F151" s="2" t="s">
        <v>544</v>
      </c>
    </row>
    <row r="152" spans="1:6" ht="25.5" x14ac:dyDescent="0.25">
      <c r="A152" s="2" t="s">
        <v>545</v>
      </c>
      <c r="B152" s="2" t="s">
        <v>546</v>
      </c>
      <c r="C152" s="3">
        <v>0.25</v>
      </c>
      <c r="D152" s="2" t="s">
        <v>384</v>
      </c>
      <c r="E152" s="2" t="s">
        <v>385</v>
      </c>
      <c r="F152" s="2" t="s">
        <v>547</v>
      </c>
    </row>
    <row r="153" spans="1:6" x14ac:dyDescent="0.25">
      <c r="A153" s="2" t="s">
        <v>548</v>
      </c>
      <c r="B153" s="2" t="s">
        <v>549</v>
      </c>
      <c r="C153" s="5">
        <v>0.25</v>
      </c>
      <c r="D153" s="2" t="s">
        <v>389</v>
      </c>
      <c r="E153" s="2" t="s">
        <v>21</v>
      </c>
      <c r="F153" s="2" t="s">
        <v>550</v>
      </c>
    </row>
    <row r="154" spans="1:6" x14ac:dyDescent="0.25">
      <c r="A154" s="2" t="s">
        <v>551</v>
      </c>
      <c r="B154" s="2" t="s">
        <v>552</v>
      </c>
      <c r="C154" s="3">
        <v>10000</v>
      </c>
      <c r="D154" s="2" t="s">
        <v>198</v>
      </c>
      <c r="E154" s="2" t="s">
        <v>21</v>
      </c>
      <c r="F154" s="2" t="s">
        <v>553</v>
      </c>
    </row>
  </sheetData>
  <autoFilter ref="A4:F154" xr:uid="{00000000-0009-0000-0000-000000000000}"/>
  <mergeCells count="2">
    <mergeCell ref="A2:F2"/>
    <mergeCell ref="A1:F1"/>
  </mergeCells>
  <pageMargins left="0.75" right="0.75" top="1" bottom="1" header="0.5" footer="0.5"/>
  <pageSetup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7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4" customWidth="1"/>
    <col min="2" max="2" width="16" customWidth="1"/>
    <col min="3" max="3" width="21" customWidth="1"/>
    <col min="4" max="4" width="22" customWidth="1"/>
    <col min="5" max="5" width="25" customWidth="1"/>
    <col min="6" max="7" width="26" customWidth="1"/>
    <col min="8" max="10" width="23" customWidth="1"/>
    <col min="11" max="11" width="24" customWidth="1"/>
    <col min="12" max="12" width="20" customWidth="1"/>
    <col min="13" max="13" width="23" customWidth="1"/>
    <col min="14" max="15" width="24" customWidth="1"/>
    <col min="16" max="16" width="22" customWidth="1"/>
    <col min="17" max="17" width="23" customWidth="1"/>
    <col min="18" max="18" width="25" customWidth="1"/>
    <col min="19" max="21" width="18" customWidth="1"/>
  </cols>
  <sheetData>
    <row r="1" spans="1:21" ht="27.95" customHeight="1" x14ac:dyDescent="0.25">
      <c r="A1" s="28" t="s">
        <v>554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33.950000000000003" customHeight="1" x14ac:dyDescent="0.25">
      <c r="A2" s="26" t="s">
        <v>555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4" spans="1:21" ht="44.1" customHeight="1" x14ac:dyDescent="0.25">
      <c r="A4" s="1" t="s">
        <v>556</v>
      </c>
      <c r="B4" s="1" t="s">
        <v>557</v>
      </c>
      <c r="C4" s="1" t="s">
        <v>558</v>
      </c>
      <c r="D4" s="1" t="s">
        <v>559</v>
      </c>
      <c r="E4" s="1" t="s">
        <v>560</v>
      </c>
      <c r="F4" s="1" t="s">
        <v>561</v>
      </c>
      <c r="G4" s="1" t="s">
        <v>562</v>
      </c>
      <c r="H4" s="1" t="s">
        <v>563</v>
      </c>
      <c r="I4" s="1" t="s">
        <v>564</v>
      </c>
      <c r="J4" s="1" t="s">
        <v>565</v>
      </c>
      <c r="K4" s="1" t="s">
        <v>566</v>
      </c>
      <c r="L4" s="1" t="s">
        <v>567</v>
      </c>
      <c r="M4" s="1" t="s">
        <v>568</v>
      </c>
      <c r="N4" s="1" t="s">
        <v>569</v>
      </c>
      <c r="O4" s="1" t="s">
        <v>570</v>
      </c>
      <c r="P4" s="1" t="s">
        <v>571</v>
      </c>
      <c r="Q4" s="1" t="s">
        <v>572</v>
      </c>
      <c r="R4" s="1" t="s">
        <v>573</v>
      </c>
      <c r="S4" s="1" t="s">
        <v>574</v>
      </c>
      <c r="T4" s="1" t="s">
        <v>575</v>
      </c>
      <c r="U4" s="1" t="s">
        <v>576</v>
      </c>
    </row>
    <row r="5" spans="1:21" x14ac:dyDescent="0.25">
      <c r="A5" s="6" t="str">
        <f>Сценарии!A5</f>
        <v>Низкий</v>
      </c>
      <c r="B5" s="7">
        <f>Сценарии!B5</f>
        <v>1</v>
      </c>
      <c r="C5" s="8">
        <f>Входы!$C$5*Входы!$C$6</f>
        <v>371000</v>
      </c>
      <c r="D5" s="8">
        <f>C5*Входы!$C$7</f>
        <v>222600</v>
      </c>
      <c r="E5" s="9">
        <f>Сценарии!E5</f>
        <v>0.8</v>
      </c>
      <c r="F5" s="8">
        <f>(D5*Сценарии!C5*(1-Сценарии!E5*Сценарии!D5)+Сценарии!F5*Входы!$C$8/Входы!$C$9+Входы!$C$5*Сценарии!H5*Сценарии!C5*(1-Сценарии!E5*Сценарии!D5)+D5*Сценарии!C5*Сценарии!D5*Сценарии!E5*Сценарии!I5)*B5*12</f>
        <v>1255623.7983333527</v>
      </c>
      <c r="G5" s="8">
        <f>(D5*Сценарии!C5*(1-Сценарии!D5)+Сценарии!G5*Входы!$C$8/Входы!$C$9+Входы!$C$5*Сценарии!H5*Сценарии!C5*(1-Сценарии!D5)+D5*Сценарии!C5*Сценарии!D5*Сценарии!I5)*B5*12</f>
        <v>985904.41358333803</v>
      </c>
      <c r="H5" s="8">
        <f>D5*Сценарии!C5*Сценарии!D5*(1-Сценарии!E5)*(1-Сценарии!I5)*B5*12</f>
        <v>235920.38399999996</v>
      </c>
      <c r="I5" s="8">
        <f>(Сценарии!F5-Сценарии!G5)*Входы!$C$8/Входы!$C$9*B5*12</f>
        <v>28039.00075001442</v>
      </c>
      <c r="J5" s="8">
        <f>Входы!$C$5*Сценарии!H5*Сценарии!C5*Сценарии!D5*(1-Сценарии!E5)*B5*12</f>
        <v>5759.9999999999982</v>
      </c>
      <c r="K5" s="10">
        <f>SUM(H5:J5)</f>
        <v>269719.3847500144</v>
      </c>
      <c r="L5" s="8">
        <f>Входы!$C$75*12</f>
        <v>300000</v>
      </c>
      <c r="M5" s="8">
        <f>Входы!$C$77+Входы!$C$78+Входы!$C$79*Входы!$C$8/Входы!$C$9</f>
        <v>111230.88905555876</v>
      </c>
      <c r="N5" s="10">
        <f>K5-L5-M5</f>
        <v>-141511.50430554437</v>
      </c>
      <c r="O5" s="10">
        <f>K5-L5</f>
        <v>-30280.615249985596</v>
      </c>
      <c r="P5" s="11" t="str">
        <f>IF(O5&gt;0,M5/(O5/12),"Не окупается")</f>
        <v>Не окупается</v>
      </c>
      <c r="Q5" s="12">
        <f>IF(K5&gt;0,L5*B5/K5,"")</f>
        <v>1.1122671078241215</v>
      </c>
      <c r="R5" s="13">
        <f>IF(AND(Сценарии!C5&gt;0,Сценарии!D5&gt;0,1-Сценарии!E5&gt;0,1-Сценарии!I5&gt;0),L5/(Входы!$C$6*Входы!$C$7*Сценарии!C5*Сценарии!D5*(1-Сценарии!E5)*(1-Сценарии!I5)),"")</f>
        <v>15259.38513223173</v>
      </c>
      <c r="S5" s="14">
        <f>IF(K5&gt;0,H5/K5,"")</f>
        <v>0.87468827729478704</v>
      </c>
      <c r="T5" s="14">
        <f>IF(K5&gt;0,I5/K5,"")</f>
        <v>0.10395619423498971</v>
      </c>
      <c r="U5" s="14">
        <f>IF(K5&gt;0,J5/K5,"")</f>
        <v>2.1355528470223126E-2</v>
      </c>
    </row>
    <row r="6" spans="1:21" x14ac:dyDescent="0.25">
      <c r="A6" s="6" t="str">
        <f>Сценарии!A6</f>
        <v>База</v>
      </c>
      <c r="B6" s="7">
        <f>Сценарии!B6</f>
        <v>2</v>
      </c>
      <c r="C6" s="8">
        <f>Входы!$C$5*Входы!$C$6</f>
        <v>371000</v>
      </c>
      <c r="D6" s="8">
        <f>C6*Входы!$C$7</f>
        <v>222600</v>
      </c>
      <c r="E6" s="9">
        <f>Сценарии!E6</f>
        <v>0.8</v>
      </c>
      <c r="F6" s="8">
        <f>(D6*Сценарии!C6*(1-Сценарии!E6*Сценарии!D6)+Сценарии!F6*Входы!$C$8/Входы!$C$9+Входы!$C$5*Сценарии!H6*Сценарии!C6*(1-Сценарии!E6*Сценарии!D6)+D6*Сценарии!C6*Сценарии!D6*Сценарии!E6*Сценарии!I6)*B6*12</f>
        <v>2511247.5966667053</v>
      </c>
      <c r="G6" s="8">
        <f>(D6*Сценарии!C6*(1-Сценарии!D6)+Сценарии!G6*Входы!$C$8/Входы!$C$9+Входы!$C$5*Сценарии!H6*Сценарии!C6*(1-Сценарии!D6)+D6*Сценарии!C6*Сценарии!D6*Сценарии!I6)*B6*12</f>
        <v>1971808.8271666761</v>
      </c>
      <c r="H6" s="8">
        <f>D6*Сценарии!C6*Сценарии!D6*(1-Сценарии!E6)*(1-Сценарии!I6)*B6*12</f>
        <v>471840.76799999992</v>
      </c>
      <c r="I6" s="8">
        <f>(Сценарии!F6-Сценарии!G6)*Входы!$C$8/Входы!$C$9*B6*12</f>
        <v>56078.00150002884</v>
      </c>
      <c r="J6" s="8">
        <f>Входы!$C$5*Сценарии!H6*Сценарии!C6*Сценарии!D6*(1-Сценарии!E6)*B6*12</f>
        <v>11519.999999999996</v>
      </c>
      <c r="K6" s="10">
        <f>SUM(H6:J6)</f>
        <v>539438.76950002881</v>
      </c>
      <c r="L6" s="8">
        <f>Входы!$C$75*12</f>
        <v>300000</v>
      </c>
      <c r="M6" s="8">
        <f>Входы!$C$77+Входы!$C$78+Входы!$C$79*Входы!$C$8/Входы!$C$9</f>
        <v>111230.88905555876</v>
      </c>
      <c r="N6" s="10">
        <f>K6-L6-M6</f>
        <v>128207.88044447005</v>
      </c>
      <c r="O6" s="10">
        <f>K6-L6</f>
        <v>239438.76950002881</v>
      </c>
      <c r="P6" s="11">
        <f>IF(O6&gt;0,M6/(O6/12),"Не окупается")</f>
        <v>5.5745803883549634</v>
      </c>
      <c r="Q6" s="12">
        <f>IF(K6&gt;0,L6*B6/K6,"")</f>
        <v>1.1122671078241215</v>
      </c>
      <c r="R6" s="13">
        <f>IF(AND(Сценарии!C6&gt;0,Сценарии!D6&gt;0,1-Сценарии!E6&gt;0,1-Сценарии!I6&gt;0),L6/(Входы!$C$6*Входы!$C$7*Сценарии!C6*Сценарии!D6*(1-Сценарии!E6)*(1-Сценарии!I6)),"")</f>
        <v>15259.38513223173</v>
      </c>
      <c r="S6" s="14">
        <f>IF(K6&gt;0,H6/K6,"")</f>
        <v>0.87468827729478704</v>
      </c>
      <c r="T6" s="14">
        <f>IF(K6&gt;0,I6/K6,"")</f>
        <v>0.10395619423498971</v>
      </c>
      <c r="U6" s="14">
        <f>IF(K6&gt;0,J6/K6,"")</f>
        <v>2.1355528470223126E-2</v>
      </c>
    </row>
    <row r="7" spans="1:21" x14ac:dyDescent="0.25">
      <c r="A7" s="6" t="str">
        <f>Сценарии!A7</f>
        <v>Стресс</v>
      </c>
      <c r="B7" s="7">
        <f>Сценарии!B7</f>
        <v>4</v>
      </c>
      <c r="C7" s="8">
        <f>Входы!$C$5*Входы!$C$6</f>
        <v>371000</v>
      </c>
      <c r="D7" s="8">
        <f>C7*Входы!$C$7</f>
        <v>222600</v>
      </c>
      <c r="E7" s="9">
        <f>Сценарии!E7</f>
        <v>0.98</v>
      </c>
      <c r="F7" s="8">
        <f>(D7*Сценарии!C7*(1-Сценарии!E7*Сценарии!D7)+Сценарии!F7*Входы!$C$8/Входы!$C$9+Входы!$C$5*Сценарии!H7*Сценарии!C7*(1-Сценарии!E7*Сценарии!D7)+D7*Сценарии!C7*Сценарии!D7*Сценарии!E7*Сценарии!I7)*B7*12</f>
        <v>8653060.5500001162</v>
      </c>
      <c r="G7" s="8">
        <f>(D7*Сценарии!C7*(1-Сценарии!D7)+Сценарии!G7*Входы!$C$8/Входы!$C$9+Входы!$C$5*Сценарии!H7*Сценарии!C7*(1-Сценарии!D7)+D7*Сценарии!C7*Сценарии!D7*Сценарии!I7)*B7*12</f>
        <v>8424090.8015000299</v>
      </c>
      <c r="H7" s="8">
        <f>D7*Сценарии!C7*Сценарии!D7*(1-Сценарии!E7)*(1-Сценарии!I7)*B7*12</f>
        <v>56415.74400000005</v>
      </c>
      <c r="I7" s="8">
        <f>(Сценарии!F7-Сценарии!G7)*Входы!$C$8/Входы!$C$9*B7*12</f>
        <v>168234.00450008654</v>
      </c>
      <c r="J7" s="8">
        <f>Входы!$C$5*Сценарии!H7*Сценарии!C7*Сценарии!D7*(1-Сценарии!E7)*B7*12</f>
        <v>4320.0000000000036</v>
      </c>
      <c r="K7" s="10">
        <f>SUM(H7:J7)</f>
        <v>228969.7485000866</v>
      </c>
      <c r="L7" s="8">
        <f>Входы!$C$75*12</f>
        <v>300000</v>
      </c>
      <c r="M7" s="8">
        <f>Входы!$C$77+Входы!$C$78+Входы!$C$79*Входы!$C$8/Входы!$C$9</f>
        <v>111230.88905555876</v>
      </c>
      <c r="N7" s="10">
        <f>K7-L7-M7</f>
        <v>-182261.14055547217</v>
      </c>
      <c r="O7" s="10">
        <f>K7-L7</f>
        <v>-71030.2514999134</v>
      </c>
      <c r="P7" s="11" t="str">
        <f>IF(O7&gt;0,M7/(O7/12),"Не окупается")</f>
        <v>Не окупается</v>
      </c>
      <c r="Q7" s="12">
        <f>IF(K7&gt;0,L7*B7/K7,"")</f>
        <v>5.2408670047499575</v>
      </c>
      <c r="R7" s="13">
        <f>IF(AND(Сценарии!C7&gt;0,Сценарии!D7&gt;0,1-Сценарии!E7&gt;0,1-Сценарии!I7&gt;0),L7/(Входы!$C$6*Входы!$C$7*Сценарии!C7*Сценарии!D7*(1-Сценарии!E7)*(1-Сценарии!I7)),"")</f>
        <v>255247.89675733048</v>
      </c>
      <c r="S7" s="14">
        <f>IF(K7&gt;0,H7/K7,"")</f>
        <v>0.24638950939835055</v>
      </c>
      <c r="T7" s="14">
        <f>IF(K7&gt;0,I7/K7,"")</f>
        <v>0.73474336938454954</v>
      </c>
      <c r="U7" s="14">
        <f>IF(K7&gt;0,J7/K7,"")</f>
        <v>1.8867121217099863E-2</v>
      </c>
    </row>
  </sheetData>
  <autoFilter ref="A4:U7" xr:uid="{00000000-0009-0000-0000-000001000000}"/>
  <mergeCells count="2">
    <mergeCell ref="A1:U1"/>
    <mergeCell ref="A2:U2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5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3" customWidth="1"/>
    <col min="2" max="2" width="22" customWidth="1"/>
    <col min="3" max="3" width="20" customWidth="1"/>
    <col min="4" max="4" width="62" customWidth="1"/>
    <col min="5" max="5" width="27" customWidth="1"/>
    <col min="6" max="7" width="19" customWidth="1"/>
    <col min="8" max="8" width="18" customWidth="1"/>
    <col min="9" max="9" width="19" customWidth="1"/>
    <col min="10" max="12" width="18" customWidth="1"/>
    <col min="13" max="14" width="24" customWidth="1"/>
    <col min="15" max="15" width="18" customWidth="1"/>
    <col min="16" max="16" width="22" customWidth="1"/>
    <col min="17" max="17" width="27" customWidth="1"/>
  </cols>
  <sheetData>
    <row r="1" spans="1:17" ht="27.95" customHeight="1" x14ac:dyDescent="0.25">
      <c r="A1" s="28" t="s">
        <v>577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33.950000000000003" customHeight="1" x14ac:dyDescent="0.25">
      <c r="A2" s="26" t="s">
        <v>578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4" spans="1:17" ht="44.1" customHeight="1" x14ac:dyDescent="0.25">
      <c r="A4" s="1" t="s">
        <v>579</v>
      </c>
      <c r="B4" s="1" t="s">
        <v>580</v>
      </c>
      <c r="C4" s="1" t="s">
        <v>581</v>
      </c>
      <c r="D4" s="1" t="s">
        <v>582</v>
      </c>
      <c r="E4" s="1" t="s">
        <v>583</v>
      </c>
      <c r="F4" s="1" t="s">
        <v>584</v>
      </c>
      <c r="G4" s="1" t="s">
        <v>585</v>
      </c>
      <c r="H4" s="1" t="s">
        <v>586</v>
      </c>
      <c r="I4" s="1" t="s">
        <v>587</v>
      </c>
      <c r="J4" s="1" t="s">
        <v>588</v>
      </c>
      <c r="K4" s="1" t="s">
        <v>589</v>
      </c>
      <c r="L4" s="1" t="s">
        <v>590</v>
      </c>
    </row>
    <row r="5" spans="1:17" x14ac:dyDescent="0.25">
      <c r="A5" s="15" t="s">
        <v>591</v>
      </c>
      <c r="B5" s="8">
        <f>Входы!$C$75</f>
        <v>25000</v>
      </c>
      <c r="C5" s="10">
        <f>B5*12</f>
        <v>300000</v>
      </c>
      <c r="D5" s="9">
        <f>C5/Клиент!K6</f>
        <v>0.55613355391206076</v>
      </c>
      <c r="E5" s="8">
        <f>Клиент!K6-C5-Клиент!M6</f>
        <v>128207.88044447005</v>
      </c>
      <c r="F5" s="8">
        <f>(B5-Входы!$C$83)*Входы!$C$84</f>
        <v>480000</v>
      </c>
      <c r="G5" s="8">
        <f>Этапы!M7</f>
        <v>365000</v>
      </c>
      <c r="H5" s="16">
        <f>F5/G5</f>
        <v>1.3150684931506849</v>
      </c>
      <c r="I5" s="8">
        <f>Этапы!M8</f>
        <v>365000</v>
      </c>
      <c r="J5" s="16">
        <f>F5/I5</f>
        <v>1.3150684931506849</v>
      </c>
      <c r="K5" s="17">
        <f>G5/(B5-Входы!$C$83)</f>
        <v>18.25</v>
      </c>
      <c r="L5" s="17">
        <f>I5/(B5-Входы!$C$83)</f>
        <v>18.25</v>
      </c>
    </row>
    <row r="6" spans="1:17" x14ac:dyDescent="0.25">
      <c r="A6" s="15" t="s">
        <v>592</v>
      </c>
      <c r="B6" s="8">
        <f>Входы!$C$76</f>
        <v>40000</v>
      </c>
      <c r="C6" s="10">
        <f>B6*12</f>
        <v>480000</v>
      </c>
      <c r="D6" s="9">
        <f>C6/Клиент!K6</f>
        <v>0.88981368625929724</v>
      </c>
      <c r="E6" s="8">
        <f>Клиент!K6-C6-Клиент!M6</f>
        <v>-51792.119555529949</v>
      </c>
      <c r="F6" s="8">
        <f>(B6-Входы!$C$83)*Входы!$C$84</f>
        <v>840000</v>
      </c>
      <c r="G6" s="8">
        <f>Этапы!N7</f>
        <v>383000</v>
      </c>
      <c r="H6" s="16">
        <f>F6/G6</f>
        <v>2.1932114882506526</v>
      </c>
      <c r="I6" s="8">
        <f>Этапы!N8</f>
        <v>383000</v>
      </c>
      <c r="J6" s="16">
        <f>F6/I6</f>
        <v>2.1932114882506526</v>
      </c>
      <c r="K6" s="17">
        <f>G6/(B6-Входы!$C$83)</f>
        <v>10.942857142857143</v>
      </c>
      <c r="L6" s="17">
        <f>I6/(B6-Входы!$C$83)</f>
        <v>10.942857142857143</v>
      </c>
    </row>
    <row r="8" spans="1:17" ht="33.950000000000003" customHeight="1" x14ac:dyDescent="0.25">
      <c r="A8" s="26" t="s">
        <v>593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10" spans="1:17" ht="44.1" customHeight="1" x14ac:dyDescent="0.25">
      <c r="A10" s="1" t="s">
        <v>594</v>
      </c>
      <c r="B10" s="1" t="s">
        <v>4</v>
      </c>
      <c r="C10" s="1" t="s">
        <v>595</v>
      </c>
      <c r="D10" s="1" t="s">
        <v>596</v>
      </c>
    </row>
    <row r="11" spans="1:17" ht="25.5" x14ac:dyDescent="0.25">
      <c r="A11" s="2" t="s">
        <v>597</v>
      </c>
      <c r="B11" s="8">
        <f>Входы!$C$85</f>
        <v>720</v>
      </c>
      <c r="C11" s="2" t="s">
        <v>325</v>
      </c>
      <c r="D11" s="2" t="s">
        <v>598</v>
      </c>
    </row>
    <row r="12" spans="1:17" ht="38.25" x14ac:dyDescent="0.25">
      <c r="A12" s="2" t="s">
        <v>599</v>
      </c>
      <c r="B12" s="8">
        <f>Входы!$C$21</f>
        <v>11</v>
      </c>
      <c r="C12" s="2" t="s">
        <v>73</v>
      </c>
      <c r="D12" s="2" t="s">
        <v>600</v>
      </c>
    </row>
    <row r="13" spans="1:17" ht="25.5" x14ac:dyDescent="0.25">
      <c r="A13" s="2" t="s">
        <v>77</v>
      </c>
      <c r="B13" s="8">
        <f>Входы!$C$22</f>
        <v>321</v>
      </c>
      <c r="C13" s="2" t="s">
        <v>73</v>
      </c>
      <c r="D13" s="2" t="s">
        <v>601</v>
      </c>
    </row>
    <row r="14" spans="1:17" ht="25.5" x14ac:dyDescent="0.25">
      <c r="A14" s="2" t="s">
        <v>602</v>
      </c>
      <c r="B14" s="8">
        <f>Этапы!R7</f>
        <v>12</v>
      </c>
      <c r="C14" s="2" t="s">
        <v>603</v>
      </c>
      <c r="D14" s="2" t="s">
        <v>604</v>
      </c>
    </row>
    <row r="15" spans="1:17" ht="25.5" x14ac:dyDescent="0.25">
      <c r="A15" s="2" t="s">
        <v>605</v>
      </c>
      <c r="B15" s="14">
        <f>B14/B12</f>
        <v>1.0909090909090908</v>
      </c>
      <c r="C15" s="2" t="s">
        <v>20</v>
      </c>
      <c r="D15" s="2" t="s">
        <v>606</v>
      </c>
    </row>
    <row r="16" spans="1:17" ht="25.5" x14ac:dyDescent="0.25">
      <c r="A16" s="2" t="s">
        <v>607</v>
      </c>
      <c r="B16" s="8">
        <f>Этапы!R8</f>
        <v>19</v>
      </c>
      <c r="C16" s="2" t="s">
        <v>603</v>
      </c>
      <c r="D16" s="2" t="s">
        <v>608</v>
      </c>
    </row>
    <row r="17" spans="1:17" x14ac:dyDescent="0.25">
      <c r="A17" s="2" t="s">
        <v>609</v>
      </c>
      <c r="B17" s="14">
        <f>B16/B12</f>
        <v>1.7272727272727273</v>
      </c>
      <c r="C17" s="2" t="s">
        <v>20</v>
      </c>
      <c r="D17" s="2" t="s">
        <v>610</v>
      </c>
    </row>
    <row r="18" spans="1:17" ht="25.5" x14ac:dyDescent="0.25">
      <c r="A18" s="2" t="s">
        <v>611</v>
      </c>
      <c r="B18" s="8">
        <f>Помесячно!AE33</f>
        <v>21</v>
      </c>
      <c r="C18" s="2" t="s">
        <v>603</v>
      </c>
      <c r="D18" s="2" t="s">
        <v>612</v>
      </c>
    </row>
    <row r="19" spans="1:17" ht="25.5" x14ac:dyDescent="0.25">
      <c r="A19" s="2" t="s">
        <v>613</v>
      </c>
      <c r="B19" s="14">
        <f>B18/B13</f>
        <v>6.5420560747663545E-2</v>
      </c>
      <c r="C19" s="2" t="s">
        <v>20</v>
      </c>
      <c r="D19" s="2" t="s">
        <v>614</v>
      </c>
    </row>
    <row r="20" spans="1:17" ht="25.5" x14ac:dyDescent="0.25">
      <c r="A20" s="2" t="s">
        <v>615</v>
      </c>
      <c r="B20" s="8" t="str">
        <f>Входы!$C$35</f>
        <v>не оценена</v>
      </c>
      <c r="C20" s="2" t="s">
        <v>616</v>
      </c>
      <c r="D20" s="2" t="s">
        <v>617</v>
      </c>
    </row>
    <row r="22" spans="1:17" ht="44.1" customHeight="1" x14ac:dyDescent="0.25">
      <c r="A22" s="1" t="s">
        <v>618</v>
      </c>
      <c r="B22" s="1" t="s">
        <v>4</v>
      </c>
      <c r="C22" s="1" t="s">
        <v>5</v>
      </c>
      <c r="D22" s="1" t="s">
        <v>619</v>
      </c>
    </row>
    <row r="23" spans="1:17" ht="25.5" x14ac:dyDescent="0.25">
      <c r="A23" s="2" t="s">
        <v>620</v>
      </c>
      <c r="B23" s="8">
        <f>ROUNDUP(((Этапы!I8+Входы!$C$94*Входы!$C$153*Входы!$C$95+Входы!$C$154)/(Входы!$C$75-Входы!$C$83)-Входы!$C$152*Входы!$C$142)/(1-((Входы!$C$40/Входы!$C$41*Входы!$C$81+Входы!$C$96*Входы!$C$75*12)/(12*(Входы!$C$75-Входы!$C$83)))),0)</f>
        <v>32</v>
      </c>
      <c r="C23" s="2" t="s">
        <v>621</v>
      </c>
      <c r="D23" s="2" t="s">
        <v>622</v>
      </c>
    </row>
    <row r="24" spans="1:17" ht="25.5" x14ac:dyDescent="0.25">
      <c r="A24" s="2" t="s">
        <v>623</v>
      </c>
      <c r="B24" s="8">
        <f>ROUNDUP(B23/Входы!$C$41,0)</f>
        <v>64</v>
      </c>
      <c r="C24" s="2" t="s">
        <v>173</v>
      </c>
      <c r="D24" s="2" t="s">
        <v>624</v>
      </c>
    </row>
    <row r="25" spans="1:17" x14ac:dyDescent="0.25">
      <c r="A25" s="2" t="s">
        <v>625</v>
      </c>
      <c r="B25" s="8">
        <f>B24*Входы!$C$40</f>
        <v>1280</v>
      </c>
      <c r="C25" s="2" t="s">
        <v>95</v>
      </c>
      <c r="D25" s="2" t="s">
        <v>626</v>
      </c>
    </row>
    <row r="26" spans="1:17" x14ac:dyDescent="0.25">
      <c r="A26" s="2" t="s">
        <v>627</v>
      </c>
      <c r="B26" s="8">
        <f>B23*Входы!$C$80</f>
        <v>640</v>
      </c>
      <c r="C26" s="2" t="s">
        <v>95</v>
      </c>
      <c r="D26" s="2" t="s">
        <v>628</v>
      </c>
    </row>
    <row r="27" spans="1:17" x14ac:dyDescent="0.25">
      <c r="A27" s="2" t="s">
        <v>629</v>
      </c>
      <c r="B27" s="8">
        <f>(Входы!$C$152*Входы!$C$142+B23)*Входы!$C$55</f>
        <v>840</v>
      </c>
      <c r="C27" s="2" t="s">
        <v>95</v>
      </c>
      <c r="D27" s="2" t="s">
        <v>630</v>
      </c>
    </row>
    <row r="28" spans="1:17" ht="25.5" x14ac:dyDescent="0.25">
      <c r="A28" s="2" t="s">
        <v>631</v>
      </c>
      <c r="B28" s="8">
        <f>SUM(B25:B27)</f>
        <v>2760</v>
      </c>
      <c r="C28" s="2" t="s">
        <v>95</v>
      </c>
      <c r="D28" s="2" t="s">
        <v>632</v>
      </c>
    </row>
    <row r="29" spans="1:17" ht="25.5" x14ac:dyDescent="0.25">
      <c r="A29" s="2" t="s">
        <v>633</v>
      </c>
      <c r="B29" s="18">
        <f>((Этапы!I8+Входы!$C$94*Входы!$C$153*Входы!$C$95+Входы!$C$154+Входы!$C$46/12*Входы!$C$40*Входы!$C$81-Входы!$C$152*Входы!$C$142*(Входы!$C$75-Входы!$C$83))/(Входы!$C$46*(Входы!$C$75-Входы!$C$83)-Входы!$C$46/12*Входы!$C$96*Входы!$C$75*12))</f>
        <v>1.6053373809523808</v>
      </c>
      <c r="C29" s="2" t="s">
        <v>160</v>
      </c>
      <c r="D29" s="2" t="s">
        <v>634</v>
      </c>
    </row>
    <row r="30" spans="1:17" ht="25.5" x14ac:dyDescent="0.25">
      <c r="A30" s="2" t="s">
        <v>635</v>
      </c>
      <c r="B30" s="8">
        <f>ROUNDUP(((Этапы!I8+Входы!$C$94*Входы!$C$153*Входы!$C$95+Входы!$C$154)/(Входы!$C$75-Входы!$C$83)-Входы!$C$152*Входы!$C$142)/(1-((Входы!$C$40*Входы!$C$81+Входы!$C$96*Входы!$C$75*12)/(12*(Входы!$C$75-Входы!$C$83)))),0)</f>
        <v>22</v>
      </c>
      <c r="C30" s="2" t="s">
        <v>173</v>
      </c>
      <c r="D30" s="2" t="s">
        <v>636</v>
      </c>
    </row>
    <row r="31" spans="1:17" ht="33.950000000000003" customHeight="1" x14ac:dyDescent="0.25">
      <c r="A31" s="26" t="s">
        <v>637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44.1" customHeight="1" x14ac:dyDescent="0.25">
      <c r="A32" s="1" t="s">
        <v>638</v>
      </c>
      <c r="B32" s="1" t="s">
        <v>639</v>
      </c>
      <c r="C32" s="1" t="s">
        <v>640</v>
      </c>
      <c r="D32" s="1" t="s">
        <v>641</v>
      </c>
      <c r="E32" s="1" t="s">
        <v>642</v>
      </c>
      <c r="F32" s="1" t="s">
        <v>643</v>
      </c>
      <c r="G32" s="1" t="s">
        <v>644</v>
      </c>
      <c r="H32" s="1" t="s">
        <v>645</v>
      </c>
      <c r="I32" s="1" t="s">
        <v>646</v>
      </c>
      <c r="J32" s="1" t="s">
        <v>647</v>
      </c>
      <c r="K32" s="1" t="s">
        <v>648</v>
      </c>
      <c r="L32" s="1" t="s">
        <v>649</v>
      </c>
      <c r="M32" s="1" t="s">
        <v>650</v>
      </c>
      <c r="N32" s="1" t="s">
        <v>651</v>
      </c>
      <c r="O32" s="1" t="s">
        <v>652</v>
      </c>
      <c r="P32" s="1" t="s">
        <v>653</v>
      </c>
      <c r="Q32" s="1" t="s">
        <v>654</v>
      </c>
    </row>
    <row r="33" spans="1:17" x14ac:dyDescent="0.25">
      <c r="A33" s="10" t="s">
        <v>655</v>
      </c>
      <c r="B33" s="12">
        <f>Входы!$C$41</f>
        <v>0.5</v>
      </c>
      <c r="C33" s="10">
        <f>SUM(Помесячно!J9:J20)</f>
        <v>3</v>
      </c>
      <c r="D33" s="10">
        <f>SUM(Помесячно!J21:J32)</f>
        <v>3</v>
      </c>
      <c r="E33" s="10">
        <f>SUM(Помесячно!J33:J44)</f>
        <v>6</v>
      </c>
      <c r="F33" s="12">
        <f>Помесячно!M44</f>
        <v>9</v>
      </c>
      <c r="G33" s="12">
        <f>Помесячно!AE33</f>
        <v>21</v>
      </c>
      <c r="H33" s="12" t="str">
        <f>IF(COUNTIF(Помесячно!AF5:AF68,"Да")=0,"не достигнута",MATCH("Да",Помесячно!AF5:AF68,0))</f>
        <v>не достигнута</v>
      </c>
      <c r="I33" s="12" t="str">
        <f>IF(H33="не достигнута","не достигнута",ROUNDUP((H33-4)/12,0))</f>
        <v>не достигнута</v>
      </c>
      <c r="J33" s="16">
        <f>(Входы!$C$75-Входы!$C$83)*Входы!$C$84/IF(SUM(Помесячно!J9:J20)&gt;0,(SUM(Помесячно!U9:U20)+SUM(Помесячно!V9:V20)+SUM(Помесячно!X9:X20)+SUM(Помесячно!Z9:Z20))/SUM(Помесячно!J9:J20),0)</f>
        <v>1.3150684931506849</v>
      </c>
      <c r="K33" s="16">
        <f>(Входы!$C$75-Входы!$C$83)*Входы!$C$84/IF(SUM(Помесячно!J21:J32)&gt;0,(SUM(Помесячно!U21:U32)+SUM(Помесячно!V21:V32)+SUM(Помесячно!X21:X32)+SUM(Помесячно!Z21:Z32))/SUM(Помесячно!J21:J32),0)</f>
        <v>1.3150684931506849</v>
      </c>
      <c r="L33" s="16">
        <f>(Входы!$C$75-Входы!$C$83)*Входы!$C$84/IF(SUM(Помесячно!J33:J44)&gt;0,(SUM(Помесячно!U33:U44)+SUM(Помесячно!V33:V44)+SUM(Помесячно!X33:X44)+SUM(Помесячно!Z33:Z44))/SUM(Помесячно!J33:J44),0)</f>
        <v>1.9393939393939394</v>
      </c>
      <c r="M33" s="10">
        <f>Помесячно!AD44</f>
        <v>-9190050.9199999925</v>
      </c>
      <c r="N33" s="10">
        <f>Помесячно!AD68</f>
        <v>-13500951.319999984</v>
      </c>
      <c r="O33" s="12" t="str">
        <f>IF(COUNTIF(Помесячно!AF5:AF68,"Да")=0,"не достигнута",LOOKUP(2,1/(Помесячно!AF5:AF68="Да"),Помесячно!B5:B68))</f>
        <v>не достигнута</v>
      </c>
      <c r="P33" s="19">
        <f>SUM(Помесячно!J9:J44)</f>
        <v>12</v>
      </c>
      <c r="Q33" s="2" t="str">
        <f>MIN(P33,Входы!$C$21)&amp;" / "&amp;MAX(0,P33-Входы!$C$21)</f>
        <v>11 / 1</v>
      </c>
    </row>
    <row r="34" spans="1:17" x14ac:dyDescent="0.25">
      <c r="A34" s="10" t="s">
        <v>656</v>
      </c>
      <c r="B34" s="12">
        <f>Входы!$C$41</f>
        <v>0.5</v>
      </c>
      <c r="C34" s="10">
        <f>SUM(Помесячно!J73:J84)</f>
        <v>3</v>
      </c>
      <c r="D34" s="10">
        <f>SUM(Помесячно!J85:J96)</f>
        <v>3</v>
      </c>
      <c r="E34" s="10">
        <f>SUM(Помесячно!J97:J108)</f>
        <v>6</v>
      </c>
      <c r="F34" s="12">
        <f>Помесячно!M108</f>
        <v>9</v>
      </c>
      <c r="G34" s="12">
        <f>Помесячно!AE97</f>
        <v>5</v>
      </c>
      <c r="H34" s="12">
        <f>IF(COUNTIF(Помесячно!AF69:AF132,"Да")=0,"не достигнута",MATCH("Да",Помесячно!AF69:AF132,0))</f>
        <v>16</v>
      </c>
      <c r="I34" s="12">
        <f>IF(H34="не достигнута","не достигнута",ROUNDUP((H34-4)/12,0))</f>
        <v>1</v>
      </c>
      <c r="J34" s="16">
        <f>(Входы!$C$75-Входы!$C$52)*Входы!$C$84/IF(SUM(Помесячно!J73:J84)&gt;0,(SUM(Помесячно!U73:U84)+SUM(Помесячно!V73:V84)+SUM(Помесячно!X73:X84)+SUM(Помесячно!Z73:Z84))/SUM(Помесячно!J73:J84),0)</f>
        <v>3.1764705882352939</v>
      </c>
      <c r="K34" s="16">
        <f>(Входы!$C$75-Входы!$C$52)*Входы!$C$84/IF(SUM(Помесячно!J85:J96)&gt;0,(SUM(Помесячно!U85:U96)+SUM(Помесячно!V85:V96)+SUM(Помесячно!X85:X96)+SUM(Помесячно!Z85:Z96))/SUM(Помесячно!J85:J96),0)</f>
        <v>3.1764705882352939</v>
      </c>
      <c r="L34" s="16">
        <f>(Входы!$C$75-Входы!$C$52)*Входы!$C$84/IF(SUM(Помесячно!J97:J108)&gt;0,(SUM(Помесячно!U97:U108)+SUM(Помесячно!V97:V108)+SUM(Помесячно!X97:X108)+SUM(Помесячно!Z97:Z108))/SUM(Помесячно!J97:J108),0)</f>
        <v>3.6</v>
      </c>
      <c r="M34" s="10">
        <f>Помесячно!AD108</f>
        <v>769949.08000000007</v>
      </c>
      <c r="N34" s="10">
        <f>Помесячно!AD132</f>
        <v>544048.68000000028</v>
      </c>
      <c r="O34" s="12">
        <f>IF(COUNTIF(Помесячно!AF69:AF132,"Да")=0,"не достигнута",LOOKUP(2,1/(Помесячно!AF69:AF132="Да"),Помесячно!B69:B132))</f>
        <v>44</v>
      </c>
      <c r="P34" s="19">
        <f>SUM(Помесячно!J73:J108)</f>
        <v>12</v>
      </c>
      <c r="Q34" s="2" t="str">
        <f>MIN(P34,Входы!$C$21)&amp;" / "&amp;MAX(0,P34-Входы!$C$21)</f>
        <v>11 / 1</v>
      </c>
    </row>
    <row r="35" spans="1:17" x14ac:dyDescent="0.25">
      <c r="A35" s="10" t="s">
        <v>657</v>
      </c>
      <c r="B35" s="12">
        <f>Входы!$C$41</f>
        <v>0.5</v>
      </c>
      <c r="C35" s="10">
        <f>SUM(Помесячно!J137:J148)</f>
        <v>3</v>
      </c>
      <c r="D35" s="10">
        <f>SUM(Помесячно!J149:J160)</f>
        <v>3</v>
      </c>
      <c r="E35" s="10">
        <f>SUM(Помесячно!J161:J172)</f>
        <v>32</v>
      </c>
      <c r="F35" s="12">
        <f>Помесячно!M172</f>
        <v>35</v>
      </c>
      <c r="G35" s="12">
        <f>Помесячно!AE161</f>
        <v>35</v>
      </c>
      <c r="H35" s="12">
        <f>IF(COUNTIF(Помесячно!AF133:AF196,"Да")=0,"не достигнута",MATCH("Да",Помесячно!AF133:AF196,0))</f>
        <v>40</v>
      </c>
      <c r="I35" s="12">
        <f>IF(H35="не достигнута","не достигнута",ROUNDUP((H35-4)/12,0))</f>
        <v>3</v>
      </c>
      <c r="J35" s="16">
        <f>(Входы!$C$75-Входы!$C$83)*Входы!$C$84/IF(SUM(Помесячно!J137:J148)&gt;0,(SUM(Помесячно!U137:U148)+SUM(Помесячно!V137:V148)+SUM(Помесячно!X137:X148)+SUM(Помесячно!Z137:Z148))/SUM(Помесячно!J137:J148),0)</f>
        <v>1.3150684931506849</v>
      </c>
      <c r="K35" s="16">
        <f>(Входы!$C$75-Входы!$C$83)*Входы!$C$84/IF(SUM(Помесячно!J149:J160)&gt;0,(SUM(Помесячно!U149:U160)+SUM(Помесячно!V149:V160)+SUM(Помесячно!X149:X160)+SUM(Помесячно!Z149:Z160))/SUM(Помесячно!J149:J160),0)</f>
        <v>1.3150684931506849</v>
      </c>
      <c r="L35" s="16">
        <f>(Входы!$C$75-Входы!$C$83)*Входы!$C$84/IF(SUM(Помесячно!J161:J172)&gt;0,(SUM(Помесячно!U161:U172)+SUM(Помесячно!V161:V172)+SUM(Помесячно!X161:X172)+SUM(Помесячно!Z161:Z172))/SUM(Помесячно!J161:J172),0)</f>
        <v>3.1572456320657771</v>
      </c>
      <c r="M35" s="10">
        <f>Помесячно!AD172</f>
        <v>-9060050.9199999962</v>
      </c>
      <c r="N35" s="10">
        <f>Помесячно!AD196</f>
        <v>-4615951.319999991</v>
      </c>
      <c r="O35" s="12">
        <f>IF(COUNTIF(Помесячно!AF133:AF196,"Да")=0,"не достигнута",LOOKUP(2,1/(Помесячно!AF133:AF196="Да"),Помесячно!B133:B196))</f>
        <v>64</v>
      </c>
      <c r="P35" s="19">
        <f>SUM(Помесячно!J137:J172)</f>
        <v>38</v>
      </c>
      <c r="Q35" s="2" t="str">
        <f>MIN(P35,Входы!$C$21)&amp;" / "&amp;MAX(0,P35-Входы!$C$21)</f>
        <v>11 / 27</v>
      </c>
    </row>
  </sheetData>
  <mergeCells count="4">
    <mergeCell ref="A31:Q31"/>
    <mergeCell ref="A2:Q2"/>
    <mergeCell ref="A8:L8"/>
    <mergeCell ref="A1:Q1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17" customWidth="1"/>
    <col min="3" max="3" width="22" customWidth="1"/>
    <col min="4" max="5" width="30" customWidth="1"/>
    <col min="6" max="7" width="24" customWidth="1"/>
    <col min="8" max="8" width="18" customWidth="1"/>
    <col min="9" max="9" width="42" customWidth="1"/>
  </cols>
  <sheetData>
    <row r="1" spans="1:9" ht="27.95" customHeight="1" x14ac:dyDescent="0.25">
      <c r="A1" s="28" t="s">
        <v>658</v>
      </c>
      <c r="B1" s="27"/>
      <c r="C1" s="27"/>
      <c r="D1" s="27"/>
      <c r="E1" s="27"/>
      <c r="F1" s="27"/>
      <c r="G1" s="27"/>
      <c r="H1" s="27"/>
      <c r="I1" s="27"/>
    </row>
    <row r="2" spans="1:9" ht="33.950000000000003" customHeight="1" x14ac:dyDescent="0.25">
      <c r="A2" s="26" t="s">
        <v>659</v>
      </c>
      <c r="B2" s="27"/>
      <c r="C2" s="27"/>
      <c r="D2" s="27"/>
      <c r="E2" s="27"/>
      <c r="F2" s="27"/>
      <c r="G2" s="27"/>
      <c r="H2" s="27"/>
      <c r="I2" s="27"/>
    </row>
    <row r="4" spans="1:9" ht="44.1" customHeight="1" x14ac:dyDescent="0.25">
      <c r="A4" s="1" t="s">
        <v>556</v>
      </c>
      <c r="B4" s="1" t="s">
        <v>557</v>
      </c>
      <c r="C4" s="1" t="s">
        <v>660</v>
      </c>
      <c r="D4" s="1" t="s">
        <v>661</v>
      </c>
      <c r="E4" s="1" t="s">
        <v>662</v>
      </c>
      <c r="F4" s="1" t="s">
        <v>663</v>
      </c>
      <c r="G4" s="1" t="s">
        <v>664</v>
      </c>
      <c r="H4" s="1" t="s">
        <v>665</v>
      </c>
      <c r="I4" s="1" t="s">
        <v>666</v>
      </c>
    </row>
    <row r="5" spans="1:9" x14ac:dyDescent="0.25">
      <c r="A5" s="20" t="s">
        <v>667</v>
      </c>
      <c r="B5" s="21">
        <f>Входы!$C$10</f>
        <v>1</v>
      </c>
      <c r="C5" s="22">
        <f>Входы!$C$13</f>
        <v>0.8</v>
      </c>
      <c r="D5" s="22">
        <f>Входы!$C$15</f>
        <v>0.6</v>
      </c>
      <c r="E5" s="22">
        <f>Входы!$C$17</f>
        <v>0.8</v>
      </c>
      <c r="F5" s="23">
        <f>Входы!$C$67</f>
        <v>4</v>
      </c>
      <c r="G5" s="23">
        <f>Входы!$C$68</f>
        <v>1</v>
      </c>
      <c r="H5" s="23">
        <f>Входы!$C$71</f>
        <v>5</v>
      </c>
      <c r="I5" s="22">
        <f>Входы!$C$73</f>
        <v>0.08</v>
      </c>
    </row>
    <row r="6" spans="1:9" x14ac:dyDescent="0.25">
      <c r="A6" s="20" t="s">
        <v>668</v>
      </c>
      <c r="B6" s="21">
        <f>Входы!$C$11</f>
        <v>2</v>
      </c>
      <c r="C6" s="22">
        <f>Входы!$C$13</f>
        <v>0.8</v>
      </c>
      <c r="D6" s="22">
        <f>Входы!$C$15</f>
        <v>0.6</v>
      </c>
      <c r="E6" s="22">
        <f>Входы!$C$17</f>
        <v>0.8</v>
      </c>
      <c r="F6" s="23">
        <f>Входы!$C$67</f>
        <v>4</v>
      </c>
      <c r="G6" s="23">
        <f>Входы!$C$68</f>
        <v>1</v>
      </c>
      <c r="H6" s="23">
        <f>Входы!$C$71</f>
        <v>5</v>
      </c>
      <c r="I6" s="22">
        <f>Входы!$C$73</f>
        <v>0.08</v>
      </c>
    </row>
    <row r="7" spans="1:9" x14ac:dyDescent="0.25">
      <c r="A7" s="20" t="s">
        <v>669</v>
      </c>
      <c r="B7" s="21">
        <f>Входы!$C$12</f>
        <v>4</v>
      </c>
      <c r="C7" s="22">
        <f>Входы!$C$14</f>
        <v>1</v>
      </c>
      <c r="D7" s="22">
        <f>Входы!$C$16</f>
        <v>0.3</v>
      </c>
      <c r="E7" s="22">
        <f>Входы!$C$18</f>
        <v>0.98</v>
      </c>
      <c r="F7" s="23">
        <f>Входы!$C$69</f>
        <v>6</v>
      </c>
      <c r="G7" s="23">
        <f>Входы!$C$70</f>
        <v>1.5</v>
      </c>
      <c r="H7" s="23">
        <f>Входы!$C$72</f>
        <v>15</v>
      </c>
      <c r="I7" s="22">
        <f>Входы!$C$74</f>
        <v>0.12</v>
      </c>
    </row>
  </sheetData>
  <autoFilter ref="A4:I7" xr:uid="{00000000-0009-0000-0000-000003000000}"/>
  <mergeCells count="2">
    <mergeCell ref="A1:I1"/>
    <mergeCell ref="A2:I2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" customWidth="1"/>
    <col min="2" max="2" width="13" customWidth="1"/>
    <col min="3" max="3" width="19" customWidth="1"/>
    <col min="4" max="4" width="18" customWidth="1"/>
    <col min="5" max="5" width="17" customWidth="1"/>
    <col min="6" max="6" width="20" customWidth="1"/>
    <col min="7" max="7" width="16" customWidth="1"/>
    <col min="8" max="9" width="20" customWidth="1"/>
    <col min="10" max="10" width="17" customWidth="1"/>
    <col min="11" max="11" width="22" customWidth="1"/>
    <col min="12" max="12" width="19" customWidth="1"/>
    <col min="13" max="14" width="20" customWidth="1"/>
    <col min="15" max="15" width="21" customWidth="1"/>
    <col min="16" max="16" width="22" customWidth="1"/>
    <col min="17" max="17" width="25" customWidth="1"/>
    <col min="18" max="18" width="22" customWidth="1"/>
    <col min="19" max="19" width="21" customWidth="1"/>
    <col min="20" max="21" width="25" customWidth="1"/>
    <col min="22" max="22" width="21" customWidth="1"/>
    <col min="23" max="23" width="22" customWidth="1"/>
    <col min="24" max="24" width="25" customWidth="1"/>
    <col min="25" max="25" width="22" customWidth="1"/>
    <col min="26" max="27" width="25" customWidth="1"/>
  </cols>
  <sheetData>
    <row r="1" spans="1:27" ht="27.95" customHeight="1" x14ac:dyDescent="0.25">
      <c r="A1" s="28" t="s">
        <v>670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33.950000000000003" customHeight="1" x14ac:dyDescent="0.25">
      <c r="A2" s="26" t="s">
        <v>671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4.1" customHeight="1" x14ac:dyDescent="0.25">
      <c r="A4" s="1" t="s">
        <v>672</v>
      </c>
      <c r="B4" s="1" t="s">
        <v>673</v>
      </c>
      <c r="C4" s="1" t="s">
        <v>674</v>
      </c>
      <c r="D4" s="1" t="s">
        <v>675</v>
      </c>
      <c r="E4" s="1" t="s">
        <v>676</v>
      </c>
      <c r="F4" s="1" t="s">
        <v>677</v>
      </c>
      <c r="G4" s="1" t="s">
        <v>678</v>
      </c>
      <c r="H4" s="1" t="s">
        <v>679</v>
      </c>
      <c r="I4" s="1" t="s">
        <v>680</v>
      </c>
      <c r="J4" s="1" t="s">
        <v>681</v>
      </c>
      <c r="K4" s="1" t="s">
        <v>682</v>
      </c>
      <c r="L4" s="1" t="s">
        <v>683</v>
      </c>
      <c r="M4" s="1" t="s">
        <v>684</v>
      </c>
      <c r="N4" s="1" t="s">
        <v>685</v>
      </c>
      <c r="O4" s="1" t="s">
        <v>686</v>
      </c>
      <c r="P4" s="1" t="s">
        <v>687</v>
      </c>
      <c r="Q4" s="1" t="s">
        <v>688</v>
      </c>
      <c r="R4" s="1" t="s">
        <v>689</v>
      </c>
      <c r="S4" s="1" t="s">
        <v>690</v>
      </c>
      <c r="T4" s="1" t="s">
        <v>691</v>
      </c>
      <c r="U4" s="1" t="s">
        <v>692</v>
      </c>
      <c r="V4" s="1" t="s">
        <v>693</v>
      </c>
      <c r="W4" s="1" t="s">
        <v>694</v>
      </c>
      <c r="X4" s="1" t="s">
        <v>695</v>
      </c>
      <c r="Y4" s="1" t="s">
        <v>696</v>
      </c>
      <c r="Z4" s="1" t="s">
        <v>697</v>
      </c>
      <c r="AA4" s="1" t="s">
        <v>698</v>
      </c>
    </row>
    <row r="5" spans="1:27" x14ac:dyDescent="0.25">
      <c r="A5" s="15" t="s">
        <v>699</v>
      </c>
      <c r="B5" s="7">
        <f>Входы!$C$109</f>
        <v>2</v>
      </c>
      <c r="C5" s="10">
        <f>0</f>
        <v>0</v>
      </c>
      <c r="D5" s="8">
        <f>Входы!$C$86*Входы!$C$110*(Входы!$C$111*Входы!$C$112+Входы!$C$113*Входы!$C$89)</f>
        <v>1224.0000000000002</v>
      </c>
      <c r="E5" s="8">
        <f>Входы!$C$86*Входы!$C$114*Входы!$C$90</f>
        <v>286.56</v>
      </c>
      <c r="F5" s="8">
        <f>Входы!$C$115</f>
        <v>1000</v>
      </c>
      <c r="G5" s="10">
        <f>0</f>
        <v>0</v>
      </c>
      <c r="H5" s="8">
        <f>Входы!$C$116</f>
        <v>1000</v>
      </c>
      <c r="I5" s="10">
        <f>SUM(C5:H5)</f>
        <v>3510.5600000000004</v>
      </c>
      <c r="J5" s="19">
        <f>0</f>
        <v>0</v>
      </c>
      <c r="K5" s="10">
        <f>0</f>
        <v>0</v>
      </c>
      <c r="L5" s="10">
        <f>0</f>
        <v>0</v>
      </c>
      <c r="M5" s="8">
        <f>IF(J5&gt;0,K5/J5+L5/J5+Входы!$C$96*Входы!$C$75*12+Входы!$C$25*Входы!$C$40*Входы!$C$81,0)</f>
        <v>0</v>
      </c>
      <c r="N5" s="8">
        <f>IF(J5&gt;0,K5/J5+L5/J5+Входы!$C$96*Входы!$C$76*12+Входы!$C$25*Входы!$C$40*Входы!$C$81,0)</f>
        <v>0</v>
      </c>
      <c r="O5" s="8">
        <f>Входы!$C$75-Входы!$C$83</f>
        <v>20000</v>
      </c>
      <c r="P5" s="19">
        <f>IF(O5&gt;0,ROUNDUP(I5/O5,0),"")</f>
        <v>1</v>
      </c>
      <c r="Q5" s="10">
        <f>I5+J5*M5</f>
        <v>3510.5600000000004</v>
      </c>
      <c r="R5" s="19">
        <f>IF(O5&gt;0,ROUNDUP(Q5/O5,0),"")</f>
        <v>1</v>
      </c>
      <c r="S5" s="10">
        <f>0</f>
        <v>0</v>
      </c>
      <c r="T5" s="8">
        <f>Q5+S5*Входы!$C$83</f>
        <v>3510.5600000000004</v>
      </c>
      <c r="U5" s="8">
        <f>T5*B5+Входы!$C$117+J5*B5*(Входы!$C$80*Входы!$C$81+Входы!$C$82)</f>
        <v>7220.1200000000008</v>
      </c>
      <c r="V5" s="8">
        <f>Входы!$C$76-Входы!$C$83</f>
        <v>35000</v>
      </c>
      <c r="W5" s="19">
        <f>IF(V5&gt;0,ROUNDUP(I5/V5,0),"")</f>
        <v>1</v>
      </c>
      <c r="X5" s="10">
        <f>I5+J5*N5</f>
        <v>3510.5600000000004</v>
      </c>
      <c r="Y5" s="19">
        <f>IF(V5&gt;0,ROUNDUP(X5/V5,0),"")</f>
        <v>1</v>
      </c>
      <c r="Z5" s="8">
        <f>X5+S5*Входы!$C$83</f>
        <v>3510.5600000000004</v>
      </c>
      <c r="AA5" s="8">
        <f>Z5*B5+Входы!$C$117+J5*B5*(Входы!$C$80*Входы!$C$81+Входы!$C$82)</f>
        <v>7220.1200000000008</v>
      </c>
    </row>
    <row r="6" spans="1:27" x14ac:dyDescent="0.25">
      <c r="A6" s="15" t="s">
        <v>700</v>
      </c>
      <c r="B6" s="7">
        <f>Входы!$C$118</f>
        <v>2</v>
      </c>
      <c r="C6" s="8">
        <f>Входы!$C$119*Входы!$C$120*Входы!$C$93*Входы!$C$95</f>
        <v>130000</v>
      </c>
      <c r="D6" s="8">
        <f>Входы!$C$86*Входы!$C$121*(Входы!$C$122*Входы!$C$123+Входы!$C$124*Входы!$C$89)</f>
        <v>2736</v>
      </c>
      <c r="E6" s="8">
        <f>Входы!$C$86*Входы!$C$125*Входы!$C$90</f>
        <v>716.40000000000009</v>
      </c>
      <c r="F6" s="8">
        <f>Входы!$C$126</f>
        <v>3000</v>
      </c>
      <c r="G6" s="10">
        <f>0</f>
        <v>0</v>
      </c>
      <c r="H6" s="8">
        <f>Входы!$C$127</f>
        <v>2000</v>
      </c>
      <c r="I6" s="10">
        <f>SUM(C6:H6)</f>
        <v>138452.4</v>
      </c>
      <c r="J6" s="7">
        <f>Входы!$C$128</f>
        <v>0</v>
      </c>
      <c r="K6" s="10">
        <f>0</f>
        <v>0</v>
      </c>
      <c r="L6" s="10">
        <f>0</f>
        <v>0</v>
      </c>
      <c r="M6" s="8">
        <f>IF(J6&gt;0,K6/J6+L6/J6+Входы!$C$96*Входы!$C$75*12+Входы!$C$25*Входы!$C$40*Входы!$C$81,0)</f>
        <v>0</v>
      </c>
      <c r="N6" s="8">
        <f>IF(J6&gt;0,K6/J6+L6/J6+Входы!$C$96*Входы!$C$76*12+Входы!$C$25*Входы!$C$40*Входы!$C$81,0)</f>
        <v>0</v>
      </c>
      <c r="O6" s="8">
        <f>Входы!$C$75-Входы!$C$83</f>
        <v>20000</v>
      </c>
      <c r="P6" s="19">
        <f>IF(O6&gt;0,ROUNDUP(I6/O6,0),"")</f>
        <v>7</v>
      </c>
      <c r="Q6" s="10">
        <f>I6+J6*M6</f>
        <v>138452.4</v>
      </c>
      <c r="R6" s="19">
        <f>IF(O6&gt;0,ROUNDUP(Q6/O6,0),"")</f>
        <v>7</v>
      </c>
      <c r="S6" s="10">
        <f>0</f>
        <v>0</v>
      </c>
      <c r="T6" s="8">
        <f>Q6+S6*Входы!$C$83</f>
        <v>138452.4</v>
      </c>
      <c r="U6" s="8">
        <f>T6*B6+J6*B6*(Входы!$C$80*Входы!$C$81+Входы!$C$82)</f>
        <v>276904.8</v>
      </c>
      <c r="V6" s="8">
        <f>Входы!$C$76-Входы!$C$83</f>
        <v>35000</v>
      </c>
      <c r="W6" s="19">
        <f>IF(V6&gt;0,ROUNDUP(I6/V6,0),"")</f>
        <v>4</v>
      </c>
      <c r="X6" s="10">
        <f>I6+J6*N6</f>
        <v>138452.4</v>
      </c>
      <c r="Y6" s="19">
        <f>IF(V6&gt;0,ROUNDUP(X6/V6,0),"")</f>
        <v>4</v>
      </c>
      <c r="Z6" s="8">
        <f>X6+S6*Входы!$C$83</f>
        <v>138452.4</v>
      </c>
      <c r="AA6" s="8">
        <f>Z6*B6+J6*B6*(Входы!$C$80*Входы!$C$81+Входы!$C$82)</f>
        <v>276904.8</v>
      </c>
    </row>
    <row r="7" spans="1:27" x14ac:dyDescent="0.25">
      <c r="A7" s="15" t="s">
        <v>701</v>
      </c>
      <c r="B7" s="7">
        <f>Входы!$C$129</f>
        <v>12</v>
      </c>
      <c r="C7" s="8">
        <f>Входы!$C$130*Входы!$C$131*Входы!$C$93*Входы!$C$95</f>
        <v>130000</v>
      </c>
      <c r="D7" s="8">
        <f>Входы!$C$86*Входы!$C$132*(Входы!$C$133*Входы!$C$134+Входы!$C$135*Входы!$C$89)</f>
        <v>2736</v>
      </c>
      <c r="E7" s="8">
        <f>Входы!$C$86*Входы!$C$136*Входы!$C$90</f>
        <v>1432.8000000000002</v>
      </c>
      <c r="F7" s="8">
        <f>Входы!$C$137</f>
        <v>5000</v>
      </c>
      <c r="G7" s="10">
        <f>0</f>
        <v>0</v>
      </c>
      <c r="H7" s="8">
        <f>Входы!$C$138</f>
        <v>5000</v>
      </c>
      <c r="I7" s="10">
        <f>SUM(C7:H7)</f>
        <v>144168.79999999999</v>
      </c>
      <c r="J7" s="7">
        <f>Входы!$C$139</f>
        <v>0.25</v>
      </c>
      <c r="K7" s="8">
        <f>Входы!$C$94*Входы!$C$140*Входы!$C$95</f>
        <v>48750</v>
      </c>
      <c r="L7" s="8">
        <f>Входы!$C$141</f>
        <v>10000</v>
      </c>
      <c r="M7" s="8">
        <f>IF(J7&gt;0,K7/J7+L7/J7+Входы!$C$96*Входы!$C$75*12+Входы!$C$25*Входы!$C$40*Входы!$C$81,0)</f>
        <v>365000</v>
      </c>
      <c r="N7" s="8">
        <f>IF(J7&gt;0,K7/J7+L7/J7+Входы!$C$96*Входы!$C$76*12+Входы!$C$25*Входы!$C$40*Входы!$C$81,0)</f>
        <v>383000</v>
      </c>
      <c r="O7" s="8">
        <f>Входы!$C$75-Входы!$C$83</f>
        <v>20000</v>
      </c>
      <c r="P7" s="19">
        <f>IF(O7&gt;0,ROUNDUP(I7/O7,0),"")</f>
        <v>8</v>
      </c>
      <c r="Q7" s="10">
        <f>I7+J7*M7</f>
        <v>235418.8</v>
      </c>
      <c r="R7" s="19">
        <f>IF(O7&gt;0,ROUNDUP(Q7/O7,0),"")</f>
        <v>12</v>
      </c>
      <c r="S7" s="10">
        <f>J7*B7/2</f>
        <v>1.5</v>
      </c>
      <c r="T7" s="8">
        <f>Q7+S7*Входы!$C$83</f>
        <v>242918.8</v>
      </c>
      <c r="U7" s="8">
        <f>T7*B7+J7*B7*(Входы!$C$80*Входы!$C$81+Входы!$C$82)</f>
        <v>3110025.5999999996</v>
      </c>
      <c r="V7" s="8">
        <f>Входы!$C$76-Входы!$C$83</f>
        <v>35000</v>
      </c>
      <c r="W7" s="19">
        <f>IF(V7&gt;0,ROUNDUP(I7/V7,0),"")</f>
        <v>5</v>
      </c>
      <c r="X7" s="10">
        <f>I7+J7*N7</f>
        <v>239918.8</v>
      </c>
      <c r="Y7" s="19">
        <f>IF(V7&gt;0,ROUNDUP(X7/V7,0),"")</f>
        <v>7</v>
      </c>
      <c r="Z7" s="8">
        <f>X7+S7*Входы!$C$83</f>
        <v>247418.8</v>
      </c>
      <c r="AA7" s="8">
        <f>Z7*B7+J7*B7*(Входы!$C$80*Входы!$C$81+Входы!$C$82)</f>
        <v>3164025.5999999996</v>
      </c>
    </row>
    <row r="8" spans="1:27" x14ac:dyDescent="0.25">
      <c r="A8" s="15" t="s">
        <v>702</v>
      </c>
      <c r="B8" s="7">
        <f>Входы!$C$142</f>
        <v>12</v>
      </c>
      <c r="C8" s="8">
        <f>Входы!$C$143*Входы!$C$144*Входы!$C$93*Входы!$C$95</f>
        <v>260000</v>
      </c>
      <c r="D8" s="8">
        <f>Входы!$C$86*Входы!$C$145*(Входы!$C$146*Входы!$C$147+Входы!$C$148*Входы!$C$89)</f>
        <v>5472</v>
      </c>
      <c r="E8" s="8">
        <f>Входы!$C$86*Входы!$C$149*Входы!$C$90</f>
        <v>2865.6000000000004</v>
      </c>
      <c r="F8" s="8">
        <f>Входы!$C$150</f>
        <v>10000</v>
      </c>
      <c r="G8" s="8">
        <f>Входы!$C$92/12</f>
        <v>33.25</v>
      </c>
      <c r="H8" s="8">
        <f>Входы!$C$151</f>
        <v>10000</v>
      </c>
      <c r="I8" s="10">
        <f>SUM(C8:H8)</f>
        <v>288370.84999999998</v>
      </c>
      <c r="J8" s="7">
        <f>Входы!$C$152</f>
        <v>0.25</v>
      </c>
      <c r="K8" s="8">
        <f>Входы!$C$94*Входы!$C$153*Входы!$C$95</f>
        <v>48750</v>
      </c>
      <c r="L8" s="8">
        <f>Входы!$C$154</f>
        <v>10000</v>
      </c>
      <c r="M8" s="8">
        <f>IF(J8&gt;0,K8/J8+L8/J8+Входы!$C$96*Входы!$C$75*12+Входы!$C$25*Входы!$C$40*Входы!$C$81,0)</f>
        <v>365000</v>
      </c>
      <c r="N8" s="8">
        <f>IF(J8&gt;0,K8/J8+L8/J8+Входы!$C$96*Входы!$C$76*12+Входы!$C$25*Входы!$C$40*Входы!$C$81,0)</f>
        <v>383000</v>
      </c>
      <c r="O8" s="8">
        <f>Входы!$C$75-Входы!$C$83</f>
        <v>20000</v>
      </c>
      <c r="P8" s="19">
        <f>IF(O8&gt;0,ROUNDUP(I8/O8,0),"")</f>
        <v>15</v>
      </c>
      <c r="Q8" s="10">
        <f>I8+J8*M8</f>
        <v>379620.85</v>
      </c>
      <c r="R8" s="19">
        <f>IF(O8&gt;0,ROUNDUP(Q8/O8,0),"")</f>
        <v>19</v>
      </c>
      <c r="S8" s="10">
        <f>J7*B7+J8*B8/2</f>
        <v>4.5</v>
      </c>
      <c r="T8" s="8">
        <f>Q8+S8*Входы!$C$83</f>
        <v>402120.85</v>
      </c>
      <c r="U8" s="8">
        <f>T8*B8+J8*B8*(Входы!$C$80*Входы!$C$81+Входы!$C$82)</f>
        <v>5020450.1999999993</v>
      </c>
      <c r="V8" s="8">
        <f>Входы!$C$76-Входы!$C$83</f>
        <v>35000</v>
      </c>
      <c r="W8" s="19">
        <f>IF(V8&gt;0,ROUNDUP(I8/V8,0),"")</f>
        <v>9</v>
      </c>
      <c r="X8" s="10">
        <f>I8+J8*N8</f>
        <v>384120.85</v>
      </c>
      <c r="Y8" s="19">
        <f>IF(V8&gt;0,ROUNDUP(X8/V8,0),"")</f>
        <v>11</v>
      </c>
      <c r="Z8" s="8">
        <f>X8+S8*Входы!$C$83</f>
        <v>406620.85</v>
      </c>
      <c r="AA8" s="8">
        <f>Z8*B8+J8*B8*(Входы!$C$80*Входы!$C$81+Входы!$C$82)</f>
        <v>5074450.1999999993</v>
      </c>
    </row>
  </sheetData>
  <autoFilter ref="A4:AA8" xr:uid="{00000000-0009-0000-0000-000004000000}"/>
  <mergeCells count="2">
    <mergeCell ref="A1:AA1"/>
    <mergeCell ref="A2:AA2"/>
  </mergeCell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96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7" customWidth="1"/>
    <col min="2" max="2" width="12" customWidth="1"/>
    <col min="3" max="3" width="20" customWidth="1"/>
    <col min="4" max="4" width="28" customWidth="1"/>
    <col min="5" max="5" width="14" customWidth="1"/>
    <col min="6" max="6" width="12" customWidth="1"/>
    <col min="7" max="7" width="16" customWidth="1"/>
    <col min="8" max="9" width="18" customWidth="1"/>
    <col min="10" max="10" width="20" customWidth="1"/>
    <col min="11" max="14" width="17" customWidth="1"/>
    <col min="15" max="15" width="16" customWidth="1"/>
    <col min="16" max="16" width="18" customWidth="1"/>
    <col min="17" max="17" width="17" customWidth="1"/>
    <col min="18" max="19" width="18" customWidth="1"/>
    <col min="20" max="20" width="21" customWidth="1"/>
    <col min="21" max="21" width="19" customWidth="1"/>
    <col min="22" max="22" width="17" customWidth="1"/>
    <col min="23" max="23" width="20" customWidth="1"/>
    <col min="24" max="24" width="17" customWidth="1"/>
    <col min="25" max="25" width="18" customWidth="1"/>
    <col min="26" max="27" width="17" customWidth="1"/>
    <col min="28" max="28" width="19" customWidth="1"/>
    <col min="29" max="29" width="20" customWidth="1"/>
    <col min="30" max="30" width="22" customWidth="1"/>
    <col min="31" max="31" width="18" customWidth="1"/>
    <col min="32" max="32" width="16" customWidth="1"/>
    <col min="33" max="33" width="28" customWidth="1"/>
  </cols>
  <sheetData>
    <row r="1" spans="1:33" ht="27.95" customHeight="1" x14ac:dyDescent="0.25">
      <c r="A1" s="28" t="s">
        <v>703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33.950000000000003" customHeight="1" x14ac:dyDescent="0.25">
      <c r="A2" s="26" t="s">
        <v>704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4" spans="1:33" ht="44.1" customHeight="1" x14ac:dyDescent="0.25">
      <c r="A4" s="1" t="s">
        <v>556</v>
      </c>
      <c r="B4" s="1" t="s">
        <v>705</v>
      </c>
      <c r="C4" s="1" t="s">
        <v>672</v>
      </c>
      <c r="D4" s="1" t="s">
        <v>706</v>
      </c>
      <c r="E4" s="1" t="s">
        <v>707</v>
      </c>
      <c r="F4" s="1" t="s">
        <v>708</v>
      </c>
      <c r="G4" s="1" t="s">
        <v>709</v>
      </c>
      <c r="H4" s="1" t="s">
        <v>710</v>
      </c>
      <c r="I4" s="1" t="s">
        <v>711</v>
      </c>
      <c r="J4" s="1" t="s">
        <v>712</v>
      </c>
      <c r="K4" s="1" t="s">
        <v>713</v>
      </c>
      <c r="L4" s="1" t="s">
        <v>714</v>
      </c>
      <c r="M4" s="1" t="s">
        <v>715</v>
      </c>
      <c r="N4" s="1" t="s">
        <v>716</v>
      </c>
      <c r="O4" s="1" t="s">
        <v>717</v>
      </c>
      <c r="P4" s="1" t="s">
        <v>718</v>
      </c>
      <c r="Q4" s="1" t="s">
        <v>719</v>
      </c>
      <c r="R4" s="1" t="s">
        <v>720</v>
      </c>
      <c r="S4" s="1" t="s">
        <v>721</v>
      </c>
      <c r="T4" s="1" t="s">
        <v>722</v>
      </c>
      <c r="U4" s="1" t="s">
        <v>723</v>
      </c>
      <c r="V4" s="1" t="s">
        <v>724</v>
      </c>
      <c r="W4" s="1" t="s">
        <v>725</v>
      </c>
      <c r="X4" s="1" t="s">
        <v>726</v>
      </c>
      <c r="Y4" s="1" t="s">
        <v>721</v>
      </c>
      <c r="Z4" s="1" t="s">
        <v>727</v>
      </c>
      <c r="AA4" s="1" t="s">
        <v>728</v>
      </c>
      <c r="AB4" s="1" t="s">
        <v>729</v>
      </c>
      <c r="AC4" s="1" t="s">
        <v>730</v>
      </c>
      <c r="AD4" s="1" t="s">
        <v>731</v>
      </c>
      <c r="AE4" s="1" t="s">
        <v>732</v>
      </c>
      <c r="AF4" s="1" t="s">
        <v>733</v>
      </c>
      <c r="AG4" s="1" t="s">
        <v>734</v>
      </c>
    </row>
    <row r="5" spans="1:33" x14ac:dyDescent="0.25">
      <c r="A5" s="2" t="s">
        <v>655</v>
      </c>
      <c r="B5" s="12">
        <v>1</v>
      </c>
      <c r="C5" s="2" t="s">
        <v>735</v>
      </c>
      <c r="D5" s="2" t="s">
        <v>736</v>
      </c>
      <c r="E5" s="18">
        <f>0</f>
        <v>0</v>
      </c>
      <c r="F5" s="18">
        <f>0</f>
        <v>0</v>
      </c>
      <c r="G5" s="18">
        <f>0</f>
        <v>0</v>
      </c>
      <c r="H5" s="18">
        <f>0</f>
        <v>0</v>
      </c>
      <c r="I5" s="18">
        <f>0</f>
        <v>0</v>
      </c>
      <c r="J5" s="18">
        <f>0</f>
        <v>0</v>
      </c>
      <c r="K5" s="18">
        <f>0</f>
        <v>0</v>
      </c>
      <c r="L5" s="18">
        <f>0</f>
        <v>0</v>
      </c>
      <c r="M5" s="18">
        <f t="shared" ref="M5:M36" si="0">MAX(0,L5+J5-K5)</f>
        <v>0</v>
      </c>
      <c r="N5" s="18">
        <f t="shared" ref="N5:N36" si="1">(L5+M5)/2</f>
        <v>0</v>
      </c>
      <c r="O5" s="18">
        <f>I5*Входы!$C$40</f>
        <v>0</v>
      </c>
      <c r="P5" s="18">
        <f>J5*Входы!$C$80</f>
        <v>0</v>
      </c>
      <c r="Q5" s="18">
        <f>N5*Входы!$C$55/12</f>
        <v>0</v>
      </c>
      <c r="R5" s="8">
        <f>N5*Входы!$C$75</f>
        <v>0</v>
      </c>
      <c r="S5" s="8">
        <f>J5*Входы!$C$77</f>
        <v>0</v>
      </c>
      <c r="T5" s="8">
        <f>0+Входы!$C$86*Входы!$C$110*(Входы!$C$111*Входы!$C$112+Входы!$C$113*Входы!$C$89)+Входы!$C$86*Входы!$C$114*Входы!$C$90+Входы!$C$115+Входы!$C$116+Входы!$C$117</f>
        <v>3709.5600000000004</v>
      </c>
      <c r="U5" s="8">
        <f>0</f>
        <v>0</v>
      </c>
      <c r="V5" s="8">
        <f>0</f>
        <v>0</v>
      </c>
      <c r="W5" s="8">
        <f>0</f>
        <v>0</v>
      </c>
      <c r="X5" s="8">
        <f>I5*Входы!$C$40*Входы!$C$81</f>
        <v>0</v>
      </c>
      <c r="Y5" s="8">
        <f>J5*(Входы!$C$80*Входы!$C$81+Входы!$C$82)</f>
        <v>0</v>
      </c>
      <c r="Z5" s="8">
        <f>J5*Входы!$C$96*Входы!$C$75*12</f>
        <v>0</v>
      </c>
      <c r="AA5" s="8">
        <f>N5*Входы!$C$83</f>
        <v>0</v>
      </c>
      <c r="AB5" s="8">
        <f t="shared" ref="AB5:AB36" si="2">SUM(T5:AA5)</f>
        <v>3709.5600000000004</v>
      </c>
      <c r="AC5" s="8">
        <f t="shared" ref="AC5:AC36" si="3">SUM(R5:S5)-AB5</f>
        <v>-3709.5600000000004</v>
      </c>
      <c r="AD5" s="8">
        <f>AC5</f>
        <v>-3709.5600000000004</v>
      </c>
      <c r="AE5" s="18" t="str">
        <f>""</f>
        <v/>
      </c>
      <c r="AF5" s="24" t="str">
        <f t="shared" ref="AF5:AF36" si="4">IF(AE5&gt;0,IF(M5&gt;=AE5,"Да","Нет"),"")</f>
        <v>Нет</v>
      </c>
      <c r="AG5" s="8">
        <f t="shared" ref="AG5:AG36" si="5">R5-AB5</f>
        <v>-3709.5600000000004</v>
      </c>
    </row>
    <row r="6" spans="1:33" x14ac:dyDescent="0.25">
      <c r="A6" s="2" t="s">
        <v>655</v>
      </c>
      <c r="B6" s="12">
        <v>2</v>
      </c>
      <c r="C6" s="2" t="s">
        <v>735</v>
      </c>
      <c r="D6" s="2" t="s">
        <v>736</v>
      </c>
      <c r="E6" s="18">
        <f>0</f>
        <v>0</v>
      </c>
      <c r="F6" s="18">
        <f>0</f>
        <v>0</v>
      </c>
      <c r="G6" s="18">
        <f>0</f>
        <v>0</v>
      </c>
      <c r="H6" s="18">
        <f>0</f>
        <v>0</v>
      </c>
      <c r="I6" s="18">
        <f>0</f>
        <v>0</v>
      </c>
      <c r="J6" s="18">
        <f>0</f>
        <v>0</v>
      </c>
      <c r="K6" s="18">
        <f>0</f>
        <v>0</v>
      </c>
      <c r="L6" s="18">
        <f t="shared" ref="L6:L37" si="6">M5</f>
        <v>0</v>
      </c>
      <c r="M6" s="18">
        <f t="shared" si="0"/>
        <v>0</v>
      </c>
      <c r="N6" s="18">
        <f t="shared" si="1"/>
        <v>0</v>
      </c>
      <c r="O6" s="18">
        <f>I6*Входы!$C$40</f>
        <v>0</v>
      </c>
      <c r="P6" s="18">
        <f>J6*Входы!$C$80</f>
        <v>0</v>
      </c>
      <c r="Q6" s="18">
        <f>N6*Входы!$C$55/12</f>
        <v>0</v>
      </c>
      <c r="R6" s="8">
        <f>N6*Входы!$C$75</f>
        <v>0</v>
      </c>
      <c r="S6" s="8">
        <f>J6*Входы!$C$77</f>
        <v>0</v>
      </c>
      <c r="T6" s="8">
        <f>0+Входы!$C$86*Входы!$C$110*(Входы!$C$111*Входы!$C$112+Входы!$C$113*Входы!$C$89)+Входы!$C$86*Входы!$C$114*Входы!$C$90+Входы!$C$115+Входы!$C$116</f>
        <v>3510.5600000000004</v>
      </c>
      <c r="U6" s="8">
        <f>0</f>
        <v>0</v>
      </c>
      <c r="V6" s="8">
        <f>0</f>
        <v>0</v>
      </c>
      <c r="W6" s="8">
        <f>0</f>
        <v>0</v>
      </c>
      <c r="X6" s="8">
        <f>I6*Входы!$C$40*Входы!$C$81</f>
        <v>0</v>
      </c>
      <c r="Y6" s="8">
        <f>J6*(Входы!$C$80*Входы!$C$81+Входы!$C$82)</f>
        <v>0</v>
      </c>
      <c r="Z6" s="8">
        <f>J6*Входы!$C$96*Входы!$C$75*12</f>
        <v>0</v>
      </c>
      <c r="AA6" s="8">
        <f>N6*Входы!$C$83</f>
        <v>0</v>
      </c>
      <c r="AB6" s="8">
        <f t="shared" si="2"/>
        <v>3510.5600000000004</v>
      </c>
      <c r="AC6" s="8">
        <f t="shared" si="3"/>
        <v>-3510.5600000000004</v>
      </c>
      <c r="AD6" s="8">
        <f t="shared" ref="AD6:AD37" si="7">AD5+AC6</f>
        <v>-7220.1200000000008</v>
      </c>
      <c r="AE6" s="18" t="str">
        <f>""</f>
        <v/>
      </c>
      <c r="AF6" s="24" t="str">
        <f t="shared" si="4"/>
        <v>Нет</v>
      </c>
      <c r="AG6" s="8">
        <f t="shared" si="5"/>
        <v>-3510.5600000000004</v>
      </c>
    </row>
    <row r="7" spans="1:33" x14ac:dyDescent="0.25">
      <c r="A7" s="2" t="s">
        <v>655</v>
      </c>
      <c r="B7" s="12">
        <v>3</v>
      </c>
      <c r="C7" s="2" t="s">
        <v>737</v>
      </c>
      <c r="D7" s="2" t="s">
        <v>736</v>
      </c>
      <c r="E7" s="18">
        <f>0</f>
        <v>0</v>
      </c>
      <c r="F7" s="18">
        <f>0</f>
        <v>0</v>
      </c>
      <c r="G7" s="18">
        <f>0</f>
        <v>0</v>
      </c>
      <c r="H7" s="18">
        <f>0</f>
        <v>0</v>
      </c>
      <c r="I7" s="18">
        <f>0</f>
        <v>0</v>
      </c>
      <c r="J7" s="18">
        <f>0</f>
        <v>0</v>
      </c>
      <c r="K7" s="18">
        <f>0</f>
        <v>0</v>
      </c>
      <c r="L7" s="18">
        <f t="shared" si="6"/>
        <v>0</v>
      </c>
      <c r="M7" s="18">
        <f t="shared" si="0"/>
        <v>0</v>
      </c>
      <c r="N7" s="18">
        <f t="shared" si="1"/>
        <v>0</v>
      </c>
      <c r="O7" s="18">
        <f>I7*Входы!$C$40</f>
        <v>0</v>
      </c>
      <c r="P7" s="18">
        <f>J7*Входы!$C$80</f>
        <v>0</v>
      </c>
      <c r="Q7" s="18">
        <f>N7*Входы!$C$55/12</f>
        <v>0</v>
      </c>
      <c r="R7" s="8">
        <f>N7*Входы!$C$75</f>
        <v>0</v>
      </c>
      <c r="S7" s="8">
        <f>J7*Входы!$C$77</f>
        <v>0</v>
      </c>
      <c r="T7" s="8">
        <f>Входы!$C$119*Входы!$C$120*Входы!$C$93*Входы!$C$95+Входы!$C$86*Входы!$C$121*(Входы!$C$122*Входы!$C$123+Входы!$C$124*Входы!$C$89)+Входы!$C$86*Входы!$C$125*Входы!$C$90+Входы!$C$126+Входы!$C$127</f>
        <v>138452.4</v>
      </c>
      <c r="U7" s="8">
        <f>0</f>
        <v>0</v>
      </c>
      <c r="V7" s="8">
        <f>0</f>
        <v>0</v>
      </c>
      <c r="W7" s="8">
        <f>0</f>
        <v>0</v>
      </c>
      <c r="X7" s="8">
        <f>I7*Входы!$C$40*Входы!$C$81</f>
        <v>0</v>
      </c>
      <c r="Y7" s="8">
        <f>J7*(Входы!$C$80*Входы!$C$81+Входы!$C$82)</f>
        <v>0</v>
      </c>
      <c r="Z7" s="8">
        <f>J7*Входы!$C$96*Входы!$C$75*12</f>
        <v>0</v>
      </c>
      <c r="AA7" s="8">
        <f>N7*Входы!$C$83</f>
        <v>0</v>
      </c>
      <c r="AB7" s="8">
        <f t="shared" si="2"/>
        <v>138452.4</v>
      </c>
      <c r="AC7" s="8">
        <f t="shared" si="3"/>
        <v>-138452.4</v>
      </c>
      <c r="AD7" s="8">
        <f t="shared" si="7"/>
        <v>-145672.51999999999</v>
      </c>
      <c r="AE7" s="18" t="str">
        <f>""</f>
        <v/>
      </c>
      <c r="AF7" s="24" t="str">
        <f t="shared" si="4"/>
        <v>Нет</v>
      </c>
      <c r="AG7" s="8">
        <f t="shared" si="5"/>
        <v>-138452.4</v>
      </c>
    </row>
    <row r="8" spans="1:33" x14ac:dyDescent="0.25">
      <c r="A8" s="2" t="s">
        <v>655</v>
      </c>
      <c r="B8" s="12">
        <v>4</v>
      </c>
      <c r="C8" s="2" t="s">
        <v>737</v>
      </c>
      <c r="D8" s="2" t="s">
        <v>736</v>
      </c>
      <c r="E8" s="18">
        <f>0</f>
        <v>0</v>
      </c>
      <c r="F8" s="18">
        <f>0</f>
        <v>0</v>
      </c>
      <c r="G8" s="18">
        <f>0</f>
        <v>0</v>
      </c>
      <c r="H8" s="18">
        <f>0</f>
        <v>0</v>
      </c>
      <c r="I8" s="18">
        <f>0</f>
        <v>0</v>
      </c>
      <c r="J8" s="18">
        <f>0</f>
        <v>0</v>
      </c>
      <c r="K8" s="18">
        <f>0</f>
        <v>0</v>
      </c>
      <c r="L8" s="18">
        <f t="shared" si="6"/>
        <v>0</v>
      </c>
      <c r="M8" s="18">
        <f t="shared" si="0"/>
        <v>0</v>
      </c>
      <c r="N8" s="18">
        <f t="shared" si="1"/>
        <v>0</v>
      </c>
      <c r="O8" s="18">
        <f>I8*Входы!$C$40</f>
        <v>0</v>
      </c>
      <c r="P8" s="18">
        <f>J8*Входы!$C$80</f>
        <v>0</v>
      </c>
      <c r="Q8" s="18">
        <f>N8*Входы!$C$55/12</f>
        <v>0</v>
      </c>
      <c r="R8" s="8">
        <f>N8*Входы!$C$75</f>
        <v>0</v>
      </c>
      <c r="S8" s="8">
        <f>J8*Входы!$C$77</f>
        <v>0</v>
      </c>
      <c r="T8" s="8">
        <f>Входы!$C$119*Входы!$C$120*Входы!$C$93*Входы!$C$95+Входы!$C$86*Входы!$C$121*(Входы!$C$122*Входы!$C$123+Входы!$C$124*Входы!$C$89)+Входы!$C$86*Входы!$C$125*Входы!$C$90+Входы!$C$126+Входы!$C$127</f>
        <v>138452.4</v>
      </c>
      <c r="U8" s="8">
        <f>0</f>
        <v>0</v>
      </c>
      <c r="V8" s="8">
        <f>0</f>
        <v>0</v>
      </c>
      <c r="W8" s="8">
        <f>0</f>
        <v>0</v>
      </c>
      <c r="X8" s="8">
        <f>I8*Входы!$C$40*Входы!$C$81</f>
        <v>0</v>
      </c>
      <c r="Y8" s="8">
        <f>J8*(Входы!$C$80*Входы!$C$81+Входы!$C$82)</f>
        <v>0</v>
      </c>
      <c r="Z8" s="8">
        <f>J8*Входы!$C$96*Входы!$C$75*12</f>
        <v>0</v>
      </c>
      <c r="AA8" s="8">
        <f>N8*Входы!$C$83</f>
        <v>0</v>
      </c>
      <c r="AB8" s="8">
        <f t="shared" si="2"/>
        <v>138452.4</v>
      </c>
      <c r="AC8" s="8">
        <f t="shared" si="3"/>
        <v>-138452.4</v>
      </c>
      <c r="AD8" s="8">
        <f t="shared" si="7"/>
        <v>-284124.92</v>
      </c>
      <c r="AE8" s="18" t="str">
        <f>""</f>
        <v/>
      </c>
      <c r="AF8" s="24" t="str">
        <f t="shared" si="4"/>
        <v>Нет</v>
      </c>
      <c r="AG8" s="8">
        <f t="shared" si="5"/>
        <v>-138452.4</v>
      </c>
    </row>
    <row r="9" spans="1:33" ht="25.5" x14ac:dyDescent="0.25">
      <c r="A9" s="2" t="s">
        <v>655</v>
      </c>
      <c r="B9" s="12">
        <v>5</v>
      </c>
      <c r="C9" s="2" t="s">
        <v>701</v>
      </c>
      <c r="D9" s="2" t="s">
        <v>738</v>
      </c>
      <c r="E9" s="18">
        <f>Входы!$C$97</f>
        <v>20</v>
      </c>
      <c r="F9" s="18">
        <f>E9*Входы!$C$98/Входы!$C$97</f>
        <v>6</v>
      </c>
      <c r="G9" s="18">
        <f>F9*Входы!$C$99/Входы!$C$98</f>
        <v>3</v>
      </c>
      <c r="H9" s="18">
        <f>Входы!$C$26/12/Входы!$C$40</f>
        <v>0.5</v>
      </c>
      <c r="I9" s="18">
        <f>MIN(G9,H9,(Входы!$C$29/12/Входы!$C$80)/Входы!$C$41,MAX(0,Входы!$C$32/Входы!$C$55-L9+K9)/Входы!$C$41,MAX(0,Входы!$C$21-L9)/Входы!$C$41,MAX(0,Входы!$C$56-0)/Входы!$C$41,Входы!$C$100/Входы!$C$41)</f>
        <v>0.5</v>
      </c>
      <c r="J9" s="18">
        <f>I9*Входы!$C$41</f>
        <v>0.25</v>
      </c>
      <c r="K9" s="18">
        <f>0</f>
        <v>0</v>
      </c>
      <c r="L9" s="18">
        <f t="shared" si="6"/>
        <v>0</v>
      </c>
      <c r="M9" s="18">
        <f t="shared" si="0"/>
        <v>0.25</v>
      </c>
      <c r="N9" s="18">
        <f t="shared" si="1"/>
        <v>0.125</v>
      </c>
      <c r="O9" s="18">
        <f>I9*Входы!$C$40</f>
        <v>10</v>
      </c>
      <c r="P9" s="18">
        <f>J9*Входы!$C$80</f>
        <v>5</v>
      </c>
      <c r="Q9" s="18">
        <f>N9*Входы!$C$55/12</f>
        <v>0.25</v>
      </c>
      <c r="R9" s="8">
        <f>N9*Входы!$C$75</f>
        <v>3125</v>
      </c>
      <c r="S9" s="8">
        <f>J9*Входы!$C$77</f>
        <v>20000</v>
      </c>
      <c r="T9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9" s="8">
        <f>Входы!$C$94*Входы!$C$140*Входы!$C$95</f>
        <v>48750</v>
      </c>
      <c r="V9" s="8">
        <f>Входы!$C$141</f>
        <v>10000</v>
      </c>
      <c r="W9" s="8">
        <f>0</f>
        <v>0</v>
      </c>
      <c r="X9" s="8">
        <f>I9*Входы!$C$40*Входы!$C$81</f>
        <v>25000</v>
      </c>
      <c r="Y9" s="8">
        <f>J9*(Входы!$C$80*Входы!$C$81+Входы!$C$82)</f>
        <v>16250</v>
      </c>
      <c r="Z9" s="8">
        <f>J9*Входы!$C$96*Входы!$C$75*12</f>
        <v>7500</v>
      </c>
      <c r="AA9" s="8">
        <f>N9*Входы!$C$83</f>
        <v>625</v>
      </c>
      <c r="AB9" s="8">
        <f t="shared" si="2"/>
        <v>252293.8</v>
      </c>
      <c r="AC9" s="8">
        <f t="shared" si="3"/>
        <v>-229168.8</v>
      </c>
      <c r="AD9" s="8">
        <f t="shared" si="7"/>
        <v>-513293.72</v>
      </c>
      <c r="AE9" s="18">
        <f>ROUNDUP((T9+U9+V9+W9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9" s="24" t="str">
        <f t="shared" si="4"/>
        <v>Нет</v>
      </c>
      <c r="AG9" s="8">
        <f t="shared" si="5"/>
        <v>-249168.8</v>
      </c>
    </row>
    <row r="10" spans="1:33" ht="25.5" x14ac:dyDescent="0.25">
      <c r="A10" s="2" t="s">
        <v>655</v>
      </c>
      <c r="B10" s="12">
        <v>6</v>
      </c>
      <c r="C10" s="2" t="s">
        <v>701</v>
      </c>
      <c r="D10" s="2" t="s">
        <v>738</v>
      </c>
      <c r="E10" s="18">
        <f>Входы!$C$97</f>
        <v>20</v>
      </c>
      <c r="F10" s="18">
        <f>E10*Входы!$C$98/Входы!$C$97</f>
        <v>6</v>
      </c>
      <c r="G10" s="18">
        <f>F10*Входы!$C$99/Входы!$C$98</f>
        <v>3</v>
      </c>
      <c r="H10" s="18">
        <f>Входы!$C$26/12/Входы!$C$40</f>
        <v>0.5</v>
      </c>
      <c r="I10" s="18">
        <f>MIN(G10,H10,(Входы!$C$29/12/Входы!$C$80)/Входы!$C$41,MAX(0,Входы!$C$32/Входы!$C$55-L10+K10)/Входы!$C$41,MAX(0,Входы!$C$21-L10)/Входы!$C$41,MAX(0,Входы!$C$56-SUM(J9:J9))/Входы!$C$41,Входы!$C$100/Входы!$C$41)</f>
        <v>0.5</v>
      </c>
      <c r="J10" s="18">
        <f>I10*Входы!$C$41</f>
        <v>0.25</v>
      </c>
      <c r="K10" s="18">
        <f>0</f>
        <v>0</v>
      </c>
      <c r="L10" s="18">
        <f t="shared" si="6"/>
        <v>0.25</v>
      </c>
      <c r="M10" s="18">
        <f t="shared" si="0"/>
        <v>0.5</v>
      </c>
      <c r="N10" s="18">
        <f t="shared" si="1"/>
        <v>0.375</v>
      </c>
      <c r="O10" s="18">
        <f>I10*Входы!$C$40</f>
        <v>10</v>
      </c>
      <c r="P10" s="18">
        <f>J10*Входы!$C$80</f>
        <v>5</v>
      </c>
      <c r="Q10" s="18">
        <f>N10*Входы!$C$55/12</f>
        <v>0.75</v>
      </c>
      <c r="R10" s="8">
        <f>N10*Входы!$C$75</f>
        <v>9375</v>
      </c>
      <c r="S10" s="8">
        <f>J10*Входы!$C$77</f>
        <v>20000</v>
      </c>
      <c r="T10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0" s="8">
        <f>Входы!$C$94*Входы!$C$140*Входы!$C$95</f>
        <v>48750</v>
      </c>
      <c r="V10" s="8">
        <f>Входы!$C$141</f>
        <v>10000</v>
      </c>
      <c r="W10" s="8">
        <f>0</f>
        <v>0</v>
      </c>
      <c r="X10" s="8">
        <f>I10*Входы!$C$40*Входы!$C$81</f>
        <v>25000</v>
      </c>
      <c r="Y10" s="8">
        <f>J10*(Входы!$C$80*Входы!$C$81+Входы!$C$82)</f>
        <v>16250</v>
      </c>
      <c r="Z10" s="8">
        <f>J10*Входы!$C$96*Входы!$C$75*12</f>
        <v>7500</v>
      </c>
      <c r="AA10" s="8">
        <f>N10*Входы!$C$83</f>
        <v>1875</v>
      </c>
      <c r="AB10" s="8">
        <f t="shared" si="2"/>
        <v>253543.8</v>
      </c>
      <c r="AC10" s="8">
        <f t="shared" si="3"/>
        <v>-224168.8</v>
      </c>
      <c r="AD10" s="8">
        <f t="shared" si="7"/>
        <v>-737462.52</v>
      </c>
      <c r="AE10" s="18">
        <f>ROUNDUP((T10+U10+V10+W10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0" s="24" t="str">
        <f t="shared" si="4"/>
        <v>Нет</v>
      </c>
      <c r="AG10" s="8">
        <f t="shared" si="5"/>
        <v>-244168.8</v>
      </c>
    </row>
    <row r="11" spans="1:33" ht="25.5" x14ac:dyDescent="0.25">
      <c r="A11" s="2" t="s">
        <v>655</v>
      </c>
      <c r="B11" s="12">
        <v>7</v>
      </c>
      <c r="C11" s="2" t="s">
        <v>701</v>
      </c>
      <c r="D11" s="2" t="s">
        <v>738</v>
      </c>
      <c r="E11" s="18">
        <f>Входы!$C$97</f>
        <v>20</v>
      </c>
      <c r="F11" s="18">
        <f>E11*Входы!$C$98/Входы!$C$97</f>
        <v>6</v>
      </c>
      <c r="G11" s="18">
        <f>F11*Входы!$C$99/Входы!$C$98</f>
        <v>3</v>
      </c>
      <c r="H11" s="18">
        <f>Входы!$C$26/12/Входы!$C$40</f>
        <v>0.5</v>
      </c>
      <c r="I11" s="18">
        <f>MIN(G11,H11,(Входы!$C$29/12/Входы!$C$80)/Входы!$C$41,MAX(0,Входы!$C$32/Входы!$C$55-L11+K11)/Входы!$C$41,MAX(0,Входы!$C$21-L11)/Входы!$C$41,MAX(0,Входы!$C$56-SUM(J9:J10))/Входы!$C$41,Входы!$C$100/Входы!$C$41)</f>
        <v>0.5</v>
      </c>
      <c r="J11" s="18">
        <f>I11*Входы!$C$41</f>
        <v>0.25</v>
      </c>
      <c r="K11" s="18">
        <f>0</f>
        <v>0</v>
      </c>
      <c r="L11" s="18">
        <f t="shared" si="6"/>
        <v>0.5</v>
      </c>
      <c r="M11" s="18">
        <f t="shared" si="0"/>
        <v>0.75</v>
      </c>
      <c r="N11" s="18">
        <f t="shared" si="1"/>
        <v>0.625</v>
      </c>
      <c r="O11" s="18">
        <f>I11*Входы!$C$40</f>
        <v>10</v>
      </c>
      <c r="P11" s="18">
        <f>J11*Входы!$C$80</f>
        <v>5</v>
      </c>
      <c r="Q11" s="18">
        <f>N11*Входы!$C$55/12</f>
        <v>1.25</v>
      </c>
      <c r="R11" s="8">
        <f>N11*Входы!$C$75</f>
        <v>15625</v>
      </c>
      <c r="S11" s="8">
        <f>J11*Входы!$C$77</f>
        <v>20000</v>
      </c>
      <c r="T11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1" s="8">
        <f>Входы!$C$94*Входы!$C$140*Входы!$C$95</f>
        <v>48750</v>
      </c>
      <c r="V11" s="8">
        <f>Входы!$C$141</f>
        <v>10000</v>
      </c>
      <c r="W11" s="8">
        <f>0</f>
        <v>0</v>
      </c>
      <c r="X11" s="8">
        <f>I11*Входы!$C$40*Входы!$C$81</f>
        <v>25000</v>
      </c>
      <c r="Y11" s="8">
        <f>J11*(Входы!$C$80*Входы!$C$81+Входы!$C$82)</f>
        <v>16250</v>
      </c>
      <c r="Z11" s="8">
        <f>J11*Входы!$C$96*Входы!$C$75*12</f>
        <v>7500</v>
      </c>
      <c r="AA11" s="8">
        <f>N11*Входы!$C$83</f>
        <v>3125</v>
      </c>
      <c r="AB11" s="8">
        <f t="shared" si="2"/>
        <v>254793.8</v>
      </c>
      <c r="AC11" s="8">
        <f t="shared" si="3"/>
        <v>-219168.8</v>
      </c>
      <c r="AD11" s="8">
        <f t="shared" si="7"/>
        <v>-956631.32000000007</v>
      </c>
      <c r="AE11" s="18">
        <f>ROUNDUP((T11+U11+V11+W11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1" s="24" t="str">
        <f t="shared" si="4"/>
        <v>Нет</v>
      </c>
      <c r="AG11" s="8">
        <f t="shared" si="5"/>
        <v>-239168.8</v>
      </c>
    </row>
    <row r="12" spans="1:33" ht="25.5" x14ac:dyDescent="0.25">
      <c r="A12" s="2" t="s">
        <v>655</v>
      </c>
      <c r="B12" s="12">
        <v>8</v>
      </c>
      <c r="C12" s="2" t="s">
        <v>701</v>
      </c>
      <c r="D12" s="2" t="s">
        <v>738</v>
      </c>
      <c r="E12" s="18">
        <f>Входы!$C$97</f>
        <v>20</v>
      </c>
      <c r="F12" s="18">
        <f>E12*Входы!$C$98/Входы!$C$97</f>
        <v>6</v>
      </c>
      <c r="G12" s="18">
        <f>F12*Входы!$C$99/Входы!$C$98</f>
        <v>3</v>
      </c>
      <c r="H12" s="18">
        <f>Входы!$C$26/12/Входы!$C$40</f>
        <v>0.5</v>
      </c>
      <c r="I12" s="18">
        <f>MIN(G12,H12,(Входы!$C$29/12/Входы!$C$80)/Входы!$C$41,MAX(0,Входы!$C$32/Входы!$C$55-L12+K12)/Входы!$C$41,MAX(0,Входы!$C$21-L12)/Входы!$C$41,MAX(0,Входы!$C$56-SUM(J9:J11))/Входы!$C$41,Входы!$C$100/Входы!$C$41)</f>
        <v>0.5</v>
      </c>
      <c r="J12" s="18">
        <f>I12*Входы!$C$41</f>
        <v>0.25</v>
      </c>
      <c r="K12" s="18">
        <f>0</f>
        <v>0</v>
      </c>
      <c r="L12" s="18">
        <f t="shared" si="6"/>
        <v>0.75</v>
      </c>
      <c r="M12" s="18">
        <f t="shared" si="0"/>
        <v>1</v>
      </c>
      <c r="N12" s="18">
        <f t="shared" si="1"/>
        <v>0.875</v>
      </c>
      <c r="O12" s="18">
        <f>I12*Входы!$C$40</f>
        <v>10</v>
      </c>
      <c r="P12" s="18">
        <f>J12*Входы!$C$80</f>
        <v>5</v>
      </c>
      <c r="Q12" s="18">
        <f>N12*Входы!$C$55/12</f>
        <v>1.75</v>
      </c>
      <c r="R12" s="8">
        <f>N12*Входы!$C$75</f>
        <v>21875</v>
      </c>
      <c r="S12" s="8">
        <f>J12*Входы!$C$77</f>
        <v>20000</v>
      </c>
      <c r="T12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2" s="8">
        <f>Входы!$C$94*Входы!$C$140*Входы!$C$95</f>
        <v>48750</v>
      </c>
      <c r="V12" s="8">
        <f>Входы!$C$141</f>
        <v>10000</v>
      </c>
      <c r="W12" s="8">
        <f>0</f>
        <v>0</v>
      </c>
      <c r="X12" s="8">
        <f>I12*Входы!$C$40*Входы!$C$81</f>
        <v>25000</v>
      </c>
      <c r="Y12" s="8">
        <f>J12*(Входы!$C$80*Входы!$C$81+Входы!$C$82)</f>
        <v>16250</v>
      </c>
      <c r="Z12" s="8">
        <f>J12*Входы!$C$96*Входы!$C$75*12</f>
        <v>7500</v>
      </c>
      <c r="AA12" s="8">
        <f>N12*Входы!$C$83</f>
        <v>4375</v>
      </c>
      <c r="AB12" s="8">
        <f t="shared" si="2"/>
        <v>256043.8</v>
      </c>
      <c r="AC12" s="8">
        <f t="shared" si="3"/>
        <v>-214168.8</v>
      </c>
      <c r="AD12" s="8">
        <f t="shared" si="7"/>
        <v>-1170800.1200000001</v>
      </c>
      <c r="AE12" s="18">
        <f>ROUNDUP((T12+U12+V12+W12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2" s="24" t="str">
        <f t="shared" si="4"/>
        <v>Нет</v>
      </c>
      <c r="AG12" s="8">
        <f t="shared" si="5"/>
        <v>-234168.8</v>
      </c>
    </row>
    <row r="13" spans="1:33" ht="25.5" x14ac:dyDescent="0.25">
      <c r="A13" s="2" t="s">
        <v>655</v>
      </c>
      <c r="B13" s="12">
        <v>9</v>
      </c>
      <c r="C13" s="2" t="s">
        <v>701</v>
      </c>
      <c r="D13" s="2" t="s">
        <v>738</v>
      </c>
      <c r="E13" s="18">
        <f>Входы!$C$97</f>
        <v>20</v>
      </c>
      <c r="F13" s="18">
        <f>E13*Входы!$C$98/Входы!$C$97</f>
        <v>6</v>
      </c>
      <c r="G13" s="18">
        <f>F13*Входы!$C$99/Входы!$C$98</f>
        <v>3</v>
      </c>
      <c r="H13" s="18">
        <f>Входы!$C$26/12/Входы!$C$40</f>
        <v>0.5</v>
      </c>
      <c r="I13" s="18">
        <f>MIN(G13,H13,(Входы!$C$29/12/Входы!$C$80)/Входы!$C$41,MAX(0,Входы!$C$32/Входы!$C$55-L13+K13)/Входы!$C$41,MAX(0,Входы!$C$21-L13)/Входы!$C$41,MAX(0,Входы!$C$56-SUM(J9:J12))/Входы!$C$41,Входы!$C$100/Входы!$C$41)</f>
        <v>0.5</v>
      </c>
      <c r="J13" s="18">
        <f>I13*Входы!$C$41</f>
        <v>0.25</v>
      </c>
      <c r="K13" s="18">
        <f>0</f>
        <v>0</v>
      </c>
      <c r="L13" s="18">
        <f t="shared" si="6"/>
        <v>1</v>
      </c>
      <c r="M13" s="18">
        <f t="shared" si="0"/>
        <v>1.25</v>
      </c>
      <c r="N13" s="18">
        <f t="shared" si="1"/>
        <v>1.125</v>
      </c>
      <c r="O13" s="18">
        <f>I13*Входы!$C$40</f>
        <v>10</v>
      </c>
      <c r="P13" s="18">
        <f>J13*Входы!$C$80</f>
        <v>5</v>
      </c>
      <c r="Q13" s="18">
        <f>N13*Входы!$C$55/12</f>
        <v>2.25</v>
      </c>
      <c r="R13" s="8">
        <f>N13*Входы!$C$75</f>
        <v>28125</v>
      </c>
      <c r="S13" s="8">
        <f>J13*Входы!$C$77</f>
        <v>20000</v>
      </c>
      <c r="T13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3" s="8">
        <f>Входы!$C$94*Входы!$C$140*Входы!$C$95</f>
        <v>48750</v>
      </c>
      <c r="V13" s="8">
        <f>Входы!$C$141</f>
        <v>10000</v>
      </c>
      <c r="W13" s="8">
        <f>0</f>
        <v>0</v>
      </c>
      <c r="X13" s="8">
        <f>I13*Входы!$C$40*Входы!$C$81</f>
        <v>25000</v>
      </c>
      <c r="Y13" s="8">
        <f>J13*(Входы!$C$80*Входы!$C$81+Входы!$C$82)</f>
        <v>16250</v>
      </c>
      <c r="Z13" s="8">
        <f>J13*Входы!$C$96*Входы!$C$75*12</f>
        <v>7500</v>
      </c>
      <c r="AA13" s="8">
        <f>N13*Входы!$C$83</f>
        <v>5625</v>
      </c>
      <c r="AB13" s="8">
        <f t="shared" si="2"/>
        <v>257293.8</v>
      </c>
      <c r="AC13" s="8">
        <f t="shared" si="3"/>
        <v>-209168.8</v>
      </c>
      <c r="AD13" s="8">
        <f t="shared" si="7"/>
        <v>-1379968.9200000002</v>
      </c>
      <c r="AE13" s="18">
        <f>ROUNDUP((T13+U13+V13+W13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3" s="24" t="str">
        <f t="shared" si="4"/>
        <v>Нет</v>
      </c>
      <c r="AG13" s="8">
        <f t="shared" si="5"/>
        <v>-229168.8</v>
      </c>
    </row>
    <row r="14" spans="1:33" ht="25.5" x14ac:dyDescent="0.25">
      <c r="A14" s="2" t="s">
        <v>655</v>
      </c>
      <c r="B14" s="12">
        <v>10</v>
      </c>
      <c r="C14" s="2" t="s">
        <v>701</v>
      </c>
      <c r="D14" s="2" t="s">
        <v>738</v>
      </c>
      <c r="E14" s="18">
        <f>Входы!$C$97</f>
        <v>20</v>
      </c>
      <c r="F14" s="18">
        <f>E14*Входы!$C$98/Входы!$C$97</f>
        <v>6</v>
      </c>
      <c r="G14" s="18">
        <f>F14*Входы!$C$99/Входы!$C$98</f>
        <v>3</v>
      </c>
      <c r="H14" s="18">
        <f>Входы!$C$26/12/Входы!$C$40</f>
        <v>0.5</v>
      </c>
      <c r="I14" s="18">
        <f>MIN(G14,H14,(Входы!$C$29/12/Входы!$C$80)/Входы!$C$41,MAX(0,Входы!$C$32/Входы!$C$55-L14+K14)/Входы!$C$41,MAX(0,Входы!$C$21-L14)/Входы!$C$41,MAX(0,Входы!$C$56-SUM(J9:J13))/Входы!$C$41,Входы!$C$100/Входы!$C$41)</f>
        <v>0.5</v>
      </c>
      <c r="J14" s="18">
        <f>I14*Входы!$C$41</f>
        <v>0.25</v>
      </c>
      <c r="K14" s="18">
        <f>0</f>
        <v>0</v>
      </c>
      <c r="L14" s="18">
        <f t="shared" si="6"/>
        <v>1.25</v>
      </c>
      <c r="M14" s="18">
        <f t="shared" si="0"/>
        <v>1.5</v>
      </c>
      <c r="N14" s="18">
        <f t="shared" si="1"/>
        <v>1.375</v>
      </c>
      <c r="O14" s="18">
        <f>I14*Входы!$C$40</f>
        <v>10</v>
      </c>
      <c r="P14" s="18">
        <f>J14*Входы!$C$80</f>
        <v>5</v>
      </c>
      <c r="Q14" s="18">
        <f>N14*Входы!$C$55/12</f>
        <v>2.75</v>
      </c>
      <c r="R14" s="8">
        <f>N14*Входы!$C$75</f>
        <v>34375</v>
      </c>
      <c r="S14" s="8">
        <f>J14*Входы!$C$77</f>
        <v>20000</v>
      </c>
      <c r="T14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" s="8">
        <f>Входы!$C$94*Входы!$C$140*Входы!$C$95</f>
        <v>48750</v>
      </c>
      <c r="V14" s="8">
        <f>Входы!$C$141</f>
        <v>10000</v>
      </c>
      <c r="W14" s="8">
        <f>0</f>
        <v>0</v>
      </c>
      <c r="X14" s="8">
        <f>I14*Входы!$C$40*Входы!$C$81</f>
        <v>25000</v>
      </c>
      <c r="Y14" s="8">
        <f>J14*(Входы!$C$80*Входы!$C$81+Входы!$C$82)</f>
        <v>16250</v>
      </c>
      <c r="Z14" s="8">
        <f>J14*Входы!$C$96*Входы!$C$75*12</f>
        <v>7500</v>
      </c>
      <c r="AA14" s="8">
        <f>N14*Входы!$C$83</f>
        <v>6875</v>
      </c>
      <c r="AB14" s="8">
        <f t="shared" si="2"/>
        <v>258543.8</v>
      </c>
      <c r="AC14" s="8">
        <f t="shared" si="3"/>
        <v>-204168.8</v>
      </c>
      <c r="AD14" s="8">
        <f t="shared" si="7"/>
        <v>-1584137.7200000002</v>
      </c>
      <c r="AE14" s="18">
        <f>ROUNDUP((T14+U14+V14+W14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" s="24" t="str">
        <f t="shared" si="4"/>
        <v>Нет</v>
      </c>
      <c r="AG14" s="8">
        <f t="shared" si="5"/>
        <v>-224168.8</v>
      </c>
    </row>
    <row r="15" spans="1:33" ht="25.5" x14ac:dyDescent="0.25">
      <c r="A15" s="2" t="s">
        <v>655</v>
      </c>
      <c r="B15" s="12">
        <v>11</v>
      </c>
      <c r="C15" s="2" t="s">
        <v>701</v>
      </c>
      <c r="D15" s="2" t="s">
        <v>738</v>
      </c>
      <c r="E15" s="18">
        <f>Входы!$C$97</f>
        <v>20</v>
      </c>
      <c r="F15" s="18">
        <f>E15*Входы!$C$98/Входы!$C$97</f>
        <v>6</v>
      </c>
      <c r="G15" s="18">
        <f>F15*Входы!$C$99/Входы!$C$98</f>
        <v>3</v>
      </c>
      <c r="H15" s="18">
        <f>Входы!$C$26/12/Входы!$C$40</f>
        <v>0.5</v>
      </c>
      <c r="I15" s="18">
        <f>MIN(G15,H15,(Входы!$C$29/12/Входы!$C$80)/Входы!$C$41,MAX(0,Входы!$C$32/Входы!$C$55-L15+K15)/Входы!$C$41,MAX(0,Входы!$C$21-L15)/Входы!$C$41,MAX(0,Входы!$C$56-SUM(J9:J14))/Входы!$C$41,Входы!$C$100/Входы!$C$41)</f>
        <v>0.5</v>
      </c>
      <c r="J15" s="18">
        <f>I15*Входы!$C$41</f>
        <v>0.25</v>
      </c>
      <c r="K15" s="18">
        <f>0</f>
        <v>0</v>
      </c>
      <c r="L15" s="18">
        <f t="shared" si="6"/>
        <v>1.5</v>
      </c>
      <c r="M15" s="18">
        <f t="shared" si="0"/>
        <v>1.75</v>
      </c>
      <c r="N15" s="18">
        <f t="shared" si="1"/>
        <v>1.625</v>
      </c>
      <c r="O15" s="18">
        <f>I15*Входы!$C$40</f>
        <v>10</v>
      </c>
      <c r="P15" s="18">
        <f>J15*Входы!$C$80</f>
        <v>5</v>
      </c>
      <c r="Q15" s="18">
        <f>N15*Входы!$C$55/12</f>
        <v>3.25</v>
      </c>
      <c r="R15" s="8">
        <f>N15*Входы!$C$75</f>
        <v>40625</v>
      </c>
      <c r="S15" s="8">
        <f>J15*Входы!$C$77</f>
        <v>20000</v>
      </c>
      <c r="T15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5" s="8">
        <f>Входы!$C$94*Входы!$C$140*Входы!$C$95</f>
        <v>48750</v>
      </c>
      <c r="V15" s="8">
        <f>Входы!$C$141</f>
        <v>10000</v>
      </c>
      <c r="W15" s="8">
        <f>0</f>
        <v>0</v>
      </c>
      <c r="X15" s="8">
        <f>I15*Входы!$C$40*Входы!$C$81</f>
        <v>25000</v>
      </c>
      <c r="Y15" s="8">
        <f>J15*(Входы!$C$80*Входы!$C$81+Входы!$C$82)</f>
        <v>16250</v>
      </c>
      <c r="Z15" s="8">
        <f>J15*Входы!$C$96*Входы!$C$75*12</f>
        <v>7500</v>
      </c>
      <c r="AA15" s="8">
        <f>N15*Входы!$C$83</f>
        <v>8125</v>
      </c>
      <c r="AB15" s="8">
        <f t="shared" si="2"/>
        <v>259793.8</v>
      </c>
      <c r="AC15" s="8">
        <f t="shared" si="3"/>
        <v>-199168.8</v>
      </c>
      <c r="AD15" s="8">
        <f t="shared" si="7"/>
        <v>-1783306.5200000003</v>
      </c>
      <c r="AE15" s="18">
        <f>ROUNDUP((T15+U15+V15+W15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5" s="24" t="str">
        <f t="shared" si="4"/>
        <v>Нет</v>
      </c>
      <c r="AG15" s="8">
        <f t="shared" si="5"/>
        <v>-219168.8</v>
      </c>
    </row>
    <row r="16" spans="1:33" ht="25.5" x14ac:dyDescent="0.25">
      <c r="A16" s="2" t="s">
        <v>655</v>
      </c>
      <c r="B16" s="12">
        <v>12</v>
      </c>
      <c r="C16" s="2" t="s">
        <v>701</v>
      </c>
      <c r="D16" s="2" t="s">
        <v>738</v>
      </c>
      <c r="E16" s="18">
        <f>Входы!$C$97</f>
        <v>20</v>
      </c>
      <c r="F16" s="18">
        <f>E16*Входы!$C$98/Входы!$C$97</f>
        <v>6</v>
      </c>
      <c r="G16" s="18">
        <f>F16*Входы!$C$99/Входы!$C$98</f>
        <v>3</v>
      </c>
      <c r="H16" s="18">
        <f>Входы!$C$26/12/Входы!$C$40</f>
        <v>0.5</v>
      </c>
      <c r="I16" s="18">
        <f>MIN(G16,H16,(Входы!$C$29/12/Входы!$C$80)/Входы!$C$41,MAX(0,Входы!$C$32/Входы!$C$55-L16+K16)/Входы!$C$41,MAX(0,Входы!$C$21-L16)/Входы!$C$41,MAX(0,Входы!$C$56-SUM(J9:J15))/Входы!$C$41,Входы!$C$100/Входы!$C$41)</f>
        <v>0.5</v>
      </c>
      <c r="J16" s="18">
        <f>I16*Входы!$C$41</f>
        <v>0.25</v>
      </c>
      <c r="K16" s="18">
        <f>0</f>
        <v>0</v>
      </c>
      <c r="L16" s="18">
        <f t="shared" si="6"/>
        <v>1.75</v>
      </c>
      <c r="M16" s="18">
        <f t="shared" si="0"/>
        <v>2</v>
      </c>
      <c r="N16" s="18">
        <f t="shared" si="1"/>
        <v>1.875</v>
      </c>
      <c r="O16" s="18">
        <f>I16*Входы!$C$40</f>
        <v>10</v>
      </c>
      <c r="P16" s="18">
        <f>J16*Входы!$C$80</f>
        <v>5</v>
      </c>
      <c r="Q16" s="18">
        <f>N16*Входы!$C$55/12</f>
        <v>3.75</v>
      </c>
      <c r="R16" s="8">
        <f>N16*Входы!$C$75</f>
        <v>46875</v>
      </c>
      <c r="S16" s="8">
        <f>J16*Входы!$C$77</f>
        <v>20000</v>
      </c>
      <c r="T16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6" s="8">
        <f>Входы!$C$94*Входы!$C$140*Входы!$C$95</f>
        <v>48750</v>
      </c>
      <c r="V16" s="8">
        <f>Входы!$C$141</f>
        <v>10000</v>
      </c>
      <c r="W16" s="8">
        <f>0</f>
        <v>0</v>
      </c>
      <c r="X16" s="8">
        <f>I16*Входы!$C$40*Входы!$C$81</f>
        <v>25000</v>
      </c>
      <c r="Y16" s="8">
        <f>J16*(Входы!$C$80*Входы!$C$81+Входы!$C$82)</f>
        <v>16250</v>
      </c>
      <c r="Z16" s="8">
        <f>J16*Входы!$C$96*Входы!$C$75*12</f>
        <v>7500</v>
      </c>
      <c r="AA16" s="8">
        <f>N16*Входы!$C$83</f>
        <v>9375</v>
      </c>
      <c r="AB16" s="8">
        <f t="shared" si="2"/>
        <v>261043.8</v>
      </c>
      <c r="AC16" s="8">
        <f t="shared" si="3"/>
        <v>-194168.8</v>
      </c>
      <c r="AD16" s="8">
        <f t="shared" si="7"/>
        <v>-1977475.3200000003</v>
      </c>
      <c r="AE16" s="18">
        <f>ROUNDUP((T16+U16+V16+W16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6" s="24" t="str">
        <f t="shared" si="4"/>
        <v>Нет</v>
      </c>
      <c r="AG16" s="8">
        <f t="shared" si="5"/>
        <v>-214168.8</v>
      </c>
    </row>
    <row r="17" spans="1:33" ht="25.5" x14ac:dyDescent="0.25">
      <c r="A17" s="2" t="s">
        <v>655</v>
      </c>
      <c r="B17" s="12">
        <v>13</v>
      </c>
      <c r="C17" s="2" t="s">
        <v>701</v>
      </c>
      <c r="D17" s="2" t="s">
        <v>738</v>
      </c>
      <c r="E17" s="18">
        <f>Входы!$C$97</f>
        <v>20</v>
      </c>
      <c r="F17" s="18">
        <f>E17*Входы!$C$98/Входы!$C$97</f>
        <v>6</v>
      </c>
      <c r="G17" s="18">
        <f>F17*Входы!$C$99/Входы!$C$98</f>
        <v>3</v>
      </c>
      <c r="H17" s="18">
        <f>Входы!$C$26/12/Входы!$C$40</f>
        <v>0.5</v>
      </c>
      <c r="I17" s="18">
        <f>MIN(G17,H17,(Входы!$C$29/12/Входы!$C$80)/Входы!$C$41,MAX(0,Входы!$C$32/Входы!$C$55-L17+K17)/Входы!$C$41,MAX(0,Входы!$C$21-L17)/Входы!$C$41,MAX(0,Входы!$C$56-SUM(J9:J16))/Входы!$C$41,Входы!$C$100/Входы!$C$41)</f>
        <v>0.5</v>
      </c>
      <c r="J17" s="18">
        <f>I17*Входы!$C$41</f>
        <v>0.25</v>
      </c>
      <c r="K17" s="18">
        <f>0</f>
        <v>0</v>
      </c>
      <c r="L17" s="18">
        <f t="shared" si="6"/>
        <v>2</v>
      </c>
      <c r="M17" s="18">
        <f t="shared" si="0"/>
        <v>2.25</v>
      </c>
      <c r="N17" s="18">
        <f t="shared" si="1"/>
        <v>2.125</v>
      </c>
      <c r="O17" s="18">
        <f>I17*Входы!$C$40</f>
        <v>10</v>
      </c>
      <c r="P17" s="18">
        <f>J17*Входы!$C$80</f>
        <v>5</v>
      </c>
      <c r="Q17" s="18">
        <f>N17*Входы!$C$55/12</f>
        <v>4.25</v>
      </c>
      <c r="R17" s="8">
        <f>N17*Входы!$C$75</f>
        <v>53125</v>
      </c>
      <c r="S17" s="8">
        <f>J17*Входы!$C$77</f>
        <v>20000</v>
      </c>
      <c r="T17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7" s="8">
        <f>Входы!$C$94*Входы!$C$140*Входы!$C$95</f>
        <v>48750</v>
      </c>
      <c r="V17" s="8">
        <f>Входы!$C$141</f>
        <v>10000</v>
      </c>
      <c r="W17" s="8">
        <f>0</f>
        <v>0</v>
      </c>
      <c r="X17" s="8">
        <f>I17*Входы!$C$40*Входы!$C$81</f>
        <v>25000</v>
      </c>
      <c r="Y17" s="8">
        <f>J17*(Входы!$C$80*Входы!$C$81+Входы!$C$82)</f>
        <v>16250</v>
      </c>
      <c r="Z17" s="8">
        <f>J17*Входы!$C$96*Входы!$C$75*12</f>
        <v>7500</v>
      </c>
      <c r="AA17" s="8">
        <f>N17*Входы!$C$83</f>
        <v>10625</v>
      </c>
      <c r="AB17" s="8">
        <f t="shared" si="2"/>
        <v>262293.8</v>
      </c>
      <c r="AC17" s="8">
        <f t="shared" si="3"/>
        <v>-189168.8</v>
      </c>
      <c r="AD17" s="8">
        <f t="shared" si="7"/>
        <v>-2166644.12</v>
      </c>
      <c r="AE17" s="18">
        <f>ROUNDUP((T17+U17+V17+W17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7" s="24" t="str">
        <f t="shared" si="4"/>
        <v>Нет</v>
      </c>
      <c r="AG17" s="8">
        <f t="shared" si="5"/>
        <v>-209168.8</v>
      </c>
    </row>
    <row r="18" spans="1:33" ht="25.5" x14ac:dyDescent="0.25">
      <c r="A18" s="2" t="s">
        <v>655</v>
      </c>
      <c r="B18" s="12">
        <v>14</v>
      </c>
      <c r="C18" s="2" t="s">
        <v>701</v>
      </c>
      <c r="D18" s="2" t="s">
        <v>738</v>
      </c>
      <c r="E18" s="18">
        <f>Входы!$C$97</f>
        <v>20</v>
      </c>
      <c r="F18" s="18">
        <f>E18*Входы!$C$98/Входы!$C$97</f>
        <v>6</v>
      </c>
      <c r="G18" s="18">
        <f>F18*Входы!$C$99/Входы!$C$98</f>
        <v>3</v>
      </c>
      <c r="H18" s="18">
        <f>Входы!$C$26/12/Входы!$C$40</f>
        <v>0.5</v>
      </c>
      <c r="I18" s="18">
        <f>MIN(G18,H18,(Входы!$C$29/12/Входы!$C$80)/Входы!$C$41,MAX(0,Входы!$C$32/Входы!$C$55-L18+K18)/Входы!$C$41,MAX(0,Входы!$C$21-L18)/Входы!$C$41,MAX(0,Входы!$C$56-SUM(J9:J17))/Входы!$C$41,Входы!$C$100/Входы!$C$41)</f>
        <v>0.5</v>
      </c>
      <c r="J18" s="18">
        <f>I18*Входы!$C$41</f>
        <v>0.25</v>
      </c>
      <c r="K18" s="18">
        <f>0</f>
        <v>0</v>
      </c>
      <c r="L18" s="18">
        <f t="shared" si="6"/>
        <v>2.25</v>
      </c>
      <c r="M18" s="18">
        <f t="shared" si="0"/>
        <v>2.5</v>
      </c>
      <c r="N18" s="18">
        <f t="shared" si="1"/>
        <v>2.375</v>
      </c>
      <c r="O18" s="18">
        <f>I18*Входы!$C$40</f>
        <v>10</v>
      </c>
      <c r="P18" s="18">
        <f>J18*Входы!$C$80</f>
        <v>5</v>
      </c>
      <c r="Q18" s="18">
        <f>N18*Входы!$C$55/12</f>
        <v>4.75</v>
      </c>
      <c r="R18" s="8">
        <f>N18*Входы!$C$75</f>
        <v>59375</v>
      </c>
      <c r="S18" s="8">
        <f>J18*Входы!$C$77</f>
        <v>20000</v>
      </c>
      <c r="T18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8" s="8">
        <f>Входы!$C$94*Входы!$C$140*Входы!$C$95</f>
        <v>48750</v>
      </c>
      <c r="V18" s="8">
        <f>Входы!$C$141</f>
        <v>10000</v>
      </c>
      <c r="W18" s="8">
        <f>0</f>
        <v>0</v>
      </c>
      <c r="X18" s="8">
        <f>I18*Входы!$C$40*Входы!$C$81</f>
        <v>25000</v>
      </c>
      <c r="Y18" s="8">
        <f>J18*(Входы!$C$80*Входы!$C$81+Входы!$C$82)</f>
        <v>16250</v>
      </c>
      <c r="Z18" s="8">
        <f>J18*Входы!$C$96*Входы!$C$75*12</f>
        <v>7500</v>
      </c>
      <c r="AA18" s="8">
        <f>N18*Входы!$C$83</f>
        <v>11875</v>
      </c>
      <c r="AB18" s="8">
        <f t="shared" si="2"/>
        <v>263543.8</v>
      </c>
      <c r="AC18" s="8">
        <f t="shared" si="3"/>
        <v>-184168.8</v>
      </c>
      <c r="AD18" s="8">
        <f t="shared" si="7"/>
        <v>-2350812.92</v>
      </c>
      <c r="AE18" s="18">
        <f>ROUNDUP((T18+U18+V18+W18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8" s="24" t="str">
        <f t="shared" si="4"/>
        <v>Нет</v>
      </c>
      <c r="AG18" s="8">
        <f t="shared" si="5"/>
        <v>-204168.8</v>
      </c>
    </row>
    <row r="19" spans="1:33" ht="25.5" x14ac:dyDescent="0.25">
      <c r="A19" s="2" t="s">
        <v>655</v>
      </c>
      <c r="B19" s="12">
        <v>15</v>
      </c>
      <c r="C19" s="2" t="s">
        <v>701</v>
      </c>
      <c r="D19" s="2" t="s">
        <v>738</v>
      </c>
      <c r="E19" s="18">
        <f>Входы!$C$97</f>
        <v>20</v>
      </c>
      <c r="F19" s="18">
        <f>E19*Входы!$C$98/Входы!$C$97</f>
        <v>6</v>
      </c>
      <c r="G19" s="18">
        <f>F19*Входы!$C$99/Входы!$C$98</f>
        <v>3</v>
      </c>
      <c r="H19" s="18">
        <f>Входы!$C$26/12/Входы!$C$40</f>
        <v>0.5</v>
      </c>
      <c r="I19" s="18">
        <f>MIN(G19,H19,(Входы!$C$29/12/Входы!$C$80)/Входы!$C$41,MAX(0,Входы!$C$32/Входы!$C$55-L19+K19)/Входы!$C$41,MAX(0,Входы!$C$21-L19)/Входы!$C$41,MAX(0,Входы!$C$56-SUM(J9:J18))/Входы!$C$41,Входы!$C$100/Входы!$C$41)</f>
        <v>0.5</v>
      </c>
      <c r="J19" s="18">
        <f>I19*Входы!$C$41</f>
        <v>0.25</v>
      </c>
      <c r="K19" s="18">
        <f>0</f>
        <v>0</v>
      </c>
      <c r="L19" s="18">
        <f t="shared" si="6"/>
        <v>2.5</v>
      </c>
      <c r="M19" s="18">
        <f t="shared" si="0"/>
        <v>2.75</v>
      </c>
      <c r="N19" s="18">
        <f t="shared" si="1"/>
        <v>2.625</v>
      </c>
      <c r="O19" s="18">
        <f>I19*Входы!$C$40</f>
        <v>10</v>
      </c>
      <c r="P19" s="18">
        <f>J19*Входы!$C$80</f>
        <v>5</v>
      </c>
      <c r="Q19" s="18">
        <f>N19*Входы!$C$55/12</f>
        <v>5.25</v>
      </c>
      <c r="R19" s="8">
        <f>N19*Входы!$C$75</f>
        <v>65625</v>
      </c>
      <c r="S19" s="8">
        <f>J19*Входы!$C$77</f>
        <v>20000</v>
      </c>
      <c r="T19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9" s="8">
        <f>Входы!$C$94*Входы!$C$140*Входы!$C$95</f>
        <v>48750</v>
      </c>
      <c r="V19" s="8">
        <f>Входы!$C$141</f>
        <v>10000</v>
      </c>
      <c r="W19" s="8">
        <f>0</f>
        <v>0</v>
      </c>
      <c r="X19" s="8">
        <f>I19*Входы!$C$40*Входы!$C$81</f>
        <v>25000</v>
      </c>
      <c r="Y19" s="8">
        <f>J19*(Входы!$C$80*Входы!$C$81+Входы!$C$82)</f>
        <v>16250</v>
      </c>
      <c r="Z19" s="8">
        <f>J19*Входы!$C$96*Входы!$C$75*12</f>
        <v>7500</v>
      </c>
      <c r="AA19" s="8">
        <f>N19*Входы!$C$83</f>
        <v>13125</v>
      </c>
      <c r="AB19" s="8">
        <f t="shared" si="2"/>
        <v>264793.8</v>
      </c>
      <c r="AC19" s="8">
        <f t="shared" si="3"/>
        <v>-179168.8</v>
      </c>
      <c r="AD19" s="8">
        <f t="shared" si="7"/>
        <v>-2529981.7199999997</v>
      </c>
      <c r="AE19" s="18">
        <f>ROUNDUP((T19+U19+V19+W19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9" s="24" t="str">
        <f t="shared" si="4"/>
        <v>Нет</v>
      </c>
      <c r="AG19" s="8">
        <f t="shared" si="5"/>
        <v>-199168.8</v>
      </c>
    </row>
    <row r="20" spans="1:33" ht="25.5" x14ac:dyDescent="0.25">
      <c r="A20" s="2" t="s">
        <v>655</v>
      </c>
      <c r="B20" s="12">
        <v>16</v>
      </c>
      <c r="C20" s="2" t="s">
        <v>701</v>
      </c>
      <c r="D20" s="2" t="s">
        <v>738</v>
      </c>
      <c r="E20" s="18">
        <f>Входы!$C$97</f>
        <v>20</v>
      </c>
      <c r="F20" s="18">
        <f>E20*Входы!$C$98/Входы!$C$97</f>
        <v>6</v>
      </c>
      <c r="G20" s="18">
        <f>F20*Входы!$C$99/Входы!$C$98</f>
        <v>3</v>
      </c>
      <c r="H20" s="18">
        <f>Входы!$C$26/12/Входы!$C$40</f>
        <v>0.5</v>
      </c>
      <c r="I20" s="18">
        <f>MIN(G20,H20,(Входы!$C$29/12/Входы!$C$80)/Входы!$C$41,MAX(0,Входы!$C$32/Входы!$C$55-L20+K20)/Входы!$C$41,MAX(0,Входы!$C$21-L20)/Входы!$C$41,MAX(0,Входы!$C$56-SUM(J9:J19))/Входы!$C$41,Входы!$C$100/Входы!$C$41)</f>
        <v>0.5</v>
      </c>
      <c r="J20" s="18">
        <f>I20*Входы!$C$41</f>
        <v>0.25</v>
      </c>
      <c r="K20" s="18">
        <f>0</f>
        <v>0</v>
      </c>
      <c r="L20" s="18">
        <f t="shared" si="6"/>
        <v>2.75</v>
      </c>
      <c r="M20" s="18">
        <f t="shared" si="0"/>
        <v>3</v>
      </c>
      <c r="N20" s="18">
        <f t="shared" si="1"/>
        <v>2.875</v>
      </c>
      <c r="O20" s="18">
        <f>I20*Входы!$C$40</f>
        <v>10</v>
      </c>
      <c r="P20" s="18">
        <f>J20*Входы!$C$80</f>
        <v>5</v>
      </c>
      <c r="Q20" s="18">
        <f>N20*Входы!$C$55/12</f>
        <v>5.75</v>
      </c>
      <c r="R20" s="8">
        <f>N20*Входы!$C$75</f>
        <v>71875</v>
      </c>
      <c r="S20" s="8">
        <f>J20*Входы!$C$77</f>
        <v>20000</v>
      </c>
      <c r="T20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20" s="8">
        <f>Входы!$C$94*Входы!$C$140*Входы!$C$95</f>
        <v>48750</v>
      </c>
      <c r="V20" s="8">
        <f>Входы!$C$141</f>
        <v>10000</v>
      </c>
      <c r="W20" s="8">
        <f>0</f>
        <v>0</v>
      </c>
      <c r="X20" s="8">
        <f>I20*Входы!$C$40*Входы!$C$81</f>
        <v>25000</v>
      </c>
      <c r="Y20" s="8">
        <f>J20*(Входы!$C$80*Входы!$C$81+Входы!$C$82)</f>
        <v>16250</v>
      </c>
      <c r="Z20" s="8">
        <f>J20*Входы!$C$96*Входы!$C$75*12</f>
        <v>7500</v>
      </c>
      <c r="AA20" s="8">
        <f>N20*Входы!$C$83</f>
        <v>14375</v>
      </c>
      <c r="AB20" s="8">
        <f t="shared" si="2"/>
        <v>266043.8</v>
      </c>
      <c r="AC20" s="8">
        <f t="shared" si="3"/>
        <v>-174168.8</v>
      </c>
      <c r="AD20" s="8">
        <f t="shared" si="7"/>
        <v>-2704150.5199999996</v>
      </c>
      <c r="AE20" s="18">
        <f>ROUNDUP((T20+U20+V20+W20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20" s="24" t="str">
        <f t="shared" si="4"/>
        <v>Нет</v>
      </c>
      <c r="AG20" s="8">
        <f t="shared" si="5"/>
        <v>-194168.8</v>
      </c>
    </row>
    <row r="21" spans="1:33" ht="25.5" x14ac:dyDescent="0.25">
      <c r="A21" s="2" t="s">
        <v>655</v>
      </c>
      <c r="B21" s="12">
        <v>17</v>
      </c>
      <c r="C21" s="2" t="s">
        <v>702</v>
      </c>
      <c r="D21" s="2" t="s">
        <v>738</v>
      </c>
      <c r="E21" s="18">
        <f>Входы!$C$103</f>
        <v>40</v>
      </c>
      <c r="F21" s="18">
        <f>E21*Входы!$C$104/Входы!$C$103</f>
        <v>12</v>
      </c>
      <c r="G21" s="18">
        <f>F21*Входы!$C$105/Входы!$C$104</f>
        <v>6</v>
      </c>
      <c r="H21" s="18">
        <f>Входы!$C$27/12/Входы!$C$40</f>
        <v>0.5</v>
      </c>
      <c r="I21" s="18">
        <f>MIN(G21,H21,(Входы!$C$30/12/Входы!$C$80)/Входы!$C$41,MAX(0,Входы!$C$33/Входы!$C$55-L21+K21)/Входы!$C$41,MAX(0,Входы!$C$21-L21)/Входы!$C$41,MAX(0,Входы!$C$57-0)/Входы!$C$41,Входы!$C$106/Входы!$C$41)</f>
        <v>0.5</v>
      </c>
      <c r="J21" s="18">
        <f>I21*Входы!$C$41</f>
        <v>0.25</v>
      </c>
      <c r="K21" s="18">
        <f>0</f>
        <v>0</v>
      </c>
      <c r="L21" s="18">
        <f t="shared" si="6"/>
        <v>3</v>
      </c>
      <c r="M21" s="18">
        <f t="shared" si="0"/>
        <v>3.25</v>
      </c>
      <c r="N21" s="18">
        <f t="shared" si="1"/>
        <v>3.125</v>
      </c>
      <c r="O21" s="18">
        <f>I21*Входы!$C$40</f>
        <v>10</v>
      </c>
      <c r="P21" s="18">
        <f>J21*Входы!$C$80</f>
        <v>5</v>
      </c>
      <c r="Q21" s="18">
        <f>N21*Входы!$C$55/12</f>
        <v>6.25</v>
      </c>
      <c r="R21" s="8">
        <f>N21*Входы!$C$75</f>
        <v>78125</v>
      </c>
      <c r="S21" s="8">
        <f>J21*Входы!$C$77</f>
        <v>20000</v>
      </c>
      <c r="T2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1" s="8">
        <f>Входы!$C$94*Входы!$C$153*Входы!$C$95</f>
        <v>48750</v>
      </c>
      <c r="V21" s="8">
        <f>Входы!$C$154</f>
        <v>10000</v>
      </c>
      <c r="W21" s="8">
        <f>0</f>
        <v>0</v>
      </c>
      <c r="X21" s="8">
        <f>I21*Входы!$C$40*Входы!$C$81</f>
        <v>25000</v>
      </c>
      <c r="Y21" s="8">
        <f>J21*(Входы!$C$80*Входы!$C$81+Входы!$C$82)</f>
        <v>16250</v>
      </c>
      <c r="Z21" s="8">
        <f>J21*Входы!$C$96*Входы!$C$75*12</f>
        <v>7500</v>
      </c>
      <c r="AA21" s="8">
        <f>N21*Входы!$C$83</f>
        <v>15625</v>
      </c>
      <c r="AB21" s="8">
        <f t="shared" si="2"/>
        <v>411495.85</v>
      </c>
      <c r="AC21" s="8">
        <f t="shared" si="3"/>
        <v>-313370.84999999998</v>
      </c>
      <c r="AD21" s="8">
        <f t="shared" si="7"/>
        <v>-3017521.3699999996</v>
      </c>
      <c r="AE21" s="18">
        <f>ROUNDUP((T21+U21+V21+W21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1" s="24" t="str">
        <f t="shared" si="4"/>
        <v>Нет</v>
      </c>
      <c r="AG21" s="8">
        <f t="shared" si="5"/>
        <v>-333370.84999999998</v>
      </c>
    </row>
    <row r="22" spans="1:33" ht="25.5" x14ac:dyDescent="0.25">
      <c r="A22" s="2" t="s">
        <v>655</v>
      </c>
      <c r="B22" s="12">
        <v>18</v>
      </c>
      <c r="C22" s="2" t="s">
        <v>702</v>
      </c>
      <c r="D22" s="2" t="s">
        <v>738</v>
      </c>
      <c r="E22" s="18">
        <f>Входы!$C$103</f>
        <v>40</v>
      </c>
      <c r="F22" s="18">
        <f>E22*Входы!$C$104/Входы!$C$103</f>
        <v>12</v>
      </c>
      <c r="G22" s="18">
        <f>F22*Входы!$C$105/Входы!$C$104</f>
        <v>6</v>
      </c>
      <c r="H22" s="18">
        <f>Входы!$C$27/12/Входы!$C$40</f>
        <v>0.5</v>
      </c>
      <c r="I22" s="18">
        <f>MIN(G22,H22,(Входы!$C$30/12/Входы!$C$80)/Входы!$C$41,MAX(0,Входы!$C$33/Входы!$C$55-L22+K22)/Входы!$C$41,MAX(0,Входы!$C$21-L22)/Входы!$C$41,MAX(0,Входы!$C$57-SUM(J21:J21))/Входы!$C$41,Входы!$C$106/Входы!$C$41)</f>
        <v>0.5</v>
      </c>
      <c r="J22" s="18">
        <f>I22*Входы!$C$41</f>
        <v>0.25</v>
      </c>
      <c r="K22" s="18">
        <f>0</f>
        <v>0</v>
      </c>
      <c r="L22" s="18">
        <f t="shared" si="6"/>
        <v>3.25</v>
      </c>
      <c r="M22" s="18">
        <f t="shared" si="0"/>
        <v>3.5</v>
      </c>
      <c r="N22" s="18">
        <f t="shared" si="1"/>
        <v>3.375</v>
      </c>
      <c r="O22" s="18">
        <f>I22*Входы!$C$40</f>
        <v>10</v>
      </c>
      <c r="P22" s="18">
        <f>J22*Входы!$C$80</f>
        <v>5</v>
      </c>
      <c r="Q22" s="18">
        <f>N22*Входы!$C$55/12</f>
        <v>6.75</v>
      </c>
      <c r="R22" s="8">
        <f>N22*Входы!$C$75</f>
        <v>84375</v>
      </c>
      <c r="S22" s="8">
        <f>J22*Входы!$C$77</f>
        <v>20000</v>
      </c>
      <c r="T2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2" s="8">
        <f>Входы!$C$94*Входы!$C$153*Входы!$C$95</f>
        <v>48750</v>
      </c>
      <c r="V22" s="8">
        <f>Входы!$C$154</f>
        <v>10000</v>
      </c>
      <c r="W22" s="8">
        <f>0</f>
        <v>0</v>
      </c>
      <c r="X22" s="8">
        <f>I22*Входы!$C$40*Входы!$C$81</f>
        <v>25000</v>
      </c>
      <c r="Y22" s="8">
        <f>J22*(Входы!$C$80*Входы!$C$81+Входы!$C$82)</f>
        <v>16250</v>
      </c>
      <c r="Z22" s="8">
        <f>J22*Входы!$C$96*Входы!$C$75*12</f>
        <v>7500</v>
      </c>
      <c r="AA22" s="8">
        <f>N22*Входы!$C$83</f>
        <v>16875</v>
      </c>
      <c r="AB22" s="8">
        <f t="shared" si="2"/>
        <v>412745.85</v>
      </c>
      <c r="AC22" s="8">
        <f t="shared" si="3"/>
        <v>-308370.84999999998</v>
      </c>
      <c r="AD22" s="8">
        <f t="shared" si="7"/>
        <v>-3325892.2199999997</v>
      </c>
      <c r="AE22" s="18">
        <f>ROUNDUP((T22+U22+V22+W22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2" s="24" t="str">
        <f t="shared" si="4"/>
        <v>Нет</v>
      </c>
      <c r="AG22" s="8">
        <f t="shared" si="5"/>
        <v>-328370.84999999998</v>
      </c>
    </row>
    <row r="23" spans="1:33" ht="25.5" x14ac:dyDescent="0.25">
      <c r="A23" s="2" t="s">
        <v>655</v>
      </c>
      <c r="B23" s="12">
        <v>19</v>
      </c>
      <c r="C23" s="2" t="s">
        <v>702</v>
      </c>
      <c r="D23" s="2" t="s">
        <v>738</v>
      </c>
      <c r="E23" s="18">
        <f>Входы!$C$103</f>
        <v>40</v>
      </c>
      <c r="F23" s="18">
        <f>E23*Входы!$C$104/Входы!$C$103</f>
        <v>12</v>
      </c>
      <c r="G23" s="18">
        <f>F23*Входы!$C$105/Входы!$C$104</f>
        <v>6</v>
      </c>
      <c r="H23" s="18">
        <f>Входы!$C$27/12/Входы!$C$40</f>
        <v>0.5</v>
      </c>
      <c r="I23" s="18">
        <f>MIN(G23,H23,(Входы!$C$30/12/Входы!$C$80)/Входы!$C$41,MAX(0,Входы!$C$33/Входы!$C$55-L23+K23)/Входы!$C$41,MAX(0,Входы!$C$21-L23)/Входы!$C$41,MAX(0,Входы!$C$57-SUM(J21:J22))/Входы!$C$41,Входы!$C$106/Входы!$C$41)</f>
        <v>0.5</v>
      </c>
      <c r="J23" s="18">
        <f>I23*Входы!$C$41</f>
        <v>0.25</v>
      </c>
      <c r="K23" s="18">
        <f>0</f>
        <v>0</v>
      </c>
      <c r="L23" s="18">
        <f t="shared" si="6"/>
        <v>3.5</v>
      </c>
      <c r="M23" s="18">
        <f t="shared" si="0"/>
        <v>3.75</v>
      </c>
      <c r="N23" s="18">
        <f t="shared" si="1"/>
        <v>3.625</v>
      </c>
      <c r="O23" s="18">
        <f>I23*Входы!$C$40</f>
        <v>10</v>
      </c>
      <c r="P23" s="18">
        <f>J23*Входы!$C$80</f>
        <v>5</v>
      </c>
      <c r="Q23" s="18">
        <f>N23*Входы!$C$55/12</f>
        <v>7.25</v>
      </c>
      <c r="R23" s="8">
        <f>N23*Входы!$C$75</f>
        <v>90625</v>
      </c>
      <c r="S23" s="8">
        <f>J23*Входы!$C$77</f>
        <v>20000</v>
      </c>
      <c r="T2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3" s="8">
        <f>Входы!$C$94*Входы!$C$153*Входы!$C$95</f>
        <v>48750</v>
      </c>
      <c r="V23" s="8">
        <f>Входы!$C$154</f>
        <v>10000</v>
      </c>
      <c r="W23" s="8">
        <f>0</f>
        <v>0</v>
      </c>
      <c r="X23" s="8">
        <f>I23*Входы!$C$40*Входы!$C$81</f>
        <v>25000</v>
      </c>
      <c r="Y23" s="8">
        <f>J23*(Входы!$C$80*Входы!$C$81+Входы!$C$82)</f>
        <v>16250</v>
      </c>
      <c r="Z23" s="8">
        <f>J23*Входы!$C$96*Входы!$C$75*12</f>
        <v>7500</v>
      </c>
      <c r="AA23" s="8">
        <f>N23*Входы!$C$83</f>
        <v>18125</v>
      </c>
      <c r="AB23" s="8">
        <f t="shared" si="2"/>
        <v>413995.85</v>
      </c>
      <c r="AC23" s="8">
        <f t="shared" si="3"/>
        <v>-303370.84999999998</v>
      </c>
      <c r="AD23" s="8">
        <f t="shared" si="7"/>
        <v>-3629263.07</v>
      </c>
      <c r="AE23" s="18">
        <f>ROUNDUP((T23+U23+V23+W23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3" s="24" t="str">
        <f t="shared" si="4"/>
        <v>Нет</v>
      </c>
      <c r="AG23" s="8">
        <f t="shared" si="5"/>
        <v>-323370.84999999998</v>
      </c>
    </row>
    <row r="24" spans="1:33" ht="25.5" x14ac:dyDescent="0.25">
      <c r="A24" s="2" t="s">
        <v>655</v>
      </c>
      <c r="B24" s="12">
        <v>20</v>
      </c>
      <c r="C24" s="2" t="s">
        <v>702</v>
      </c>
      <c r="D24" s="2" t="s">
        <v>738</v>
      </c>
      <c r="E24" s="18">
        <f>Входы!$C$103</f>
        <v>40</v>
      </c>
      <c r="F24" s="18">
        <f>E24*Входы!$C$104/Входы!$C$103</f>
        <v>12</v>
      </c>
      <c r="G24" s="18">
        <f>F24*Входы!$C$105/Входы!$C$104</f>
        <v>6</v>
      </c>
      <c r="H24" s="18">
        <f>Входы!$C$27/12/Входы!$C$40</f>
        <v>0.5</v>
      </c>
      <c r="I24" s="18">
        <f>MIN(G24,H24,(Входы!$C$30/12/Входы!$C$80)/Входы!$C$41,MAX(0,Входы!$C$33/Входы!$C$55-L24+K24)/Входы!$C$41,MAX(0,Входы!$C$21-L24)/Входы!$C$41,MAX(0,Входы!$C$57-SUM(J21:J23))/Входы!$C$41,Входы!$C$106/Входы!$C$41)</f>
        <v>0.5</v>
      </c>
      <c r="J24" s="18">
        <f>I24*Входы!$C$41</f>
        <v>0.25</v>
      </c>
      <c r="K24" s="18">
        <f>0</f>
        <v>0</v>
      </c>
      <c r="L24" s="18">
        <f t="shared" si="6"/>
        <v>3.75</v>
      </c>
      <c r="M24" s="18">
        <f t="shared" si="0"/>
        <v>4</v>
      </c>
      <c r="N24" s="18">
        <f t="shared" si="1"/>
        <v>3.875</v>
      </c>
      <c r="O24" s="18">
        <f>I24*Входы!$C$40</f>
        <v>10</v>
      </c>
      <c r="P24" s="18">
        <f>J24*Входы!$C$80</f>
        <v>5</v>
      </c>
      <c r="Q24" s="18">
        <f>N24*Входы!$C$55/12</f>
        <v>7.75</v>
      </c>
      <c r="R24" s="8">
        <f>N24*Входы!$C$75</f>
        <v>96875</v>
      </c>
      <c r="S24" s="8">
        <f>J24*Входы!$C$77</f>
        <v>20000</v>
      </c>
      <c r="T2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4" s="8">
        <f>Входы!$C$94*Входы!$C$153*Входы!$C$95</f>
        <v>48750</v>
      </c>
      <c r="V24" s="8">
        <f>Входы!$C$154</f>
        <v>10000</v>
      </c>
      <c r="W24" s="8">
        <f>0</f>
        <v>0</v>
      </c>
      <c r="X24" s="8">
        <f>I24*Входы!$C$40*Входы!$C$81</f>
        <v>25000</v>
      </c>
      <c r="Y24" s="8">
        <f>J24*(Входы!$C$80*Входы!$C$81+Входы!$C$82)</f>
        <v>16250</v>
      </c>
      <c r="Z24" s="8">
        <f>J24*Входы!$C$96*Входы!$C$75*12</f>
        <v>7500</v>
      </c>
      <c r="AA24" s="8">
        <f>N24*Входы!$C$83</f>
        <v>19375</v>
      </c>
      <c r="AB24" s="8">
        <f t="shared" si="2"/>
        <v>415245.85</v>
      </c>
      <c r="AC24" s="8">
        <f t="shared" si="3"/>
        <v>-298370.84999999998</v>
      </c>
      <c r="AD24" s="8">
        <f t="shared" si="7"/>
        <v>-3927633.9199999999</v>
      </c>
      <c r="AE24" s="18">
        <f>ROUNDUP((T24+U24+V24+W24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4" s="24" t="str">
        <f t="shared" si="4"/>
        <v>Нет</v>
      </c>
      <c r="AG24" s="8">
        <f t="shared" si="5"/>
        <v>-318370.84999999998</v>
      </c>
    </row>
    <row r="25" spans="1:33" ht="25.5" x14ac:dyDescent="0.25">
      <c r="A25" s="2" t="s">
        <v>655</v>
      </c>
      <c r="B25" s="12">
        <v>21</v>
      </c>
      <c r="C25" s="2" t="s">
        <v>702</v>
      </c>
      <c r="D25" s="2" t="s">
        <v>738</v>
      </c>
      <c r="E25" s="18">
        <f>Входы!$C$103</f>
        <v>40</v>
      </c>
      <c r="F25" s="18">
        <f>E25*Входы!$C$104/Входы!$C$103</f>
        <v>12</v>
      </c>
      <c r="G25" s="18">
        <f>F25*Входы!$C$105/Входы!$C$104</f>
        <v>6</v>
      </c>
      <c r="H25" s="18">
        <f>Входы!$C$27/12/Входы!$C$40</f>
        <v>0.5</v>
      </c>
      <c r="I25" s="18">
        <f>MIN(G25,H25,(Входы!$C$30/12/Входы!$C$80)/Входы!$C$41,MAX(0,Входы!$C$33/Входы!$C$55-L25+K25)/Входы!$C$41,MAX(0,Входы!$C$21-L25)/Входы!$C$41,MAX(0,Входы!$C$57-SUM(J21:J24))/Входы!$C$41,Входы!$C$106/Входы!$C$41)</f>
        <v>0.5</v>
      </c>
      <c r="J25" s="18">
        <f>I25*Входы!$C$41</f>
        <v>0.25</v>
      </c>
      <c r="K25" s="18">
        <f>0</f>
        <v>0</v>
      </c>
      <c r="L25" s="18">
        <f t="shared" si="6"/>
        <v>4</v>
      </c>
      <c r="M25" s="18">
        <f t="shared" si="0"/>
        <v>4.25</v>
      </c>
      <c r="N25" s="18">
        <f t="shared" si="1"/>
        <v>4.125</v>
      </c>
      <c r="O25" s="18">
        <f>I25*Входы!$C$40</f>
        <v>10</v>
      </c>
      <c r="P25" s="18">
        <f>J25*Входы!$C$80</f>
        <v>5</v>
      </c>
      <c r="Q25" s="18">
        <f>N25*Входы!$C$55/12</f>
        <v>8.25</v>
      </c>
      <c r="R25" s="8">
        <f>N25*Входы!$C$75</f>
        <v>103125</v>
      </c>
      <c r="S25" s="8">
        <f>J25*Входы!$C$77</f>
        <v>20000</v>
      </c>
      <c r="T2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5" s="8">
        <f>Входы!$C$94*Входы!$C$153*Входы!$C$95</f>
        <v>48750</v>
      </c>
      <c r="V25" s="8">
        <f>Входы!$C$154</f>
        <v>10000</v>
      </c>
      <c r="W25" s="8">
        <f>0</f>
        <v>0</v>
      </c>
      <c r="X25" s="8">
        <f>I25*Входы!$C$40*Входы!$C$81</f>
        <v>25000</v>
      </c>
      <c r="Y25" s="8">
        <f>J25*(Входы!$C$80*Входы!$C$81+Входы!$C$82)</f>
        <v>16250</v>
      </c>
      <c r="Z25" s="8">
        <f>J25*Входы!$C$96*Входы!$C$75*12</f>
        <v>7500</v>
      </c>
      <c r="AA25" s="8">
        <f>N25*Входы!$C$83</f>
        <v>20625</v>
      </c>
      <c r="AB25" s="8">
        <f t="shared" si="2"/>
        <v>416495.85</v>
      </c>
      <c r="AC25" s="8">
        <f t="shared" si="3"/>
        <v>-293370.84999999998</v>
      </c>
      <c r="AD25" s="8">
        <f t="shared" si="7"/>
        <v>-4221004.7699999996</v>
      </c>
      <c r="AE25" s="18">
        <f>ROUNDUP((T25+U25+V25+W25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5" s="24" t="str">
        <f t="shared" si="4"/>
        <v>Нет</v>
      </c>
      <c r="AG25" s="8">
        <f t="shared" si="5"/>
        <v>-313370.84999999998</v>
      </c>
    </row>
    <row r="26" spans="1:33" ht="25.5" x14ac:dyDescent="0.25">
      <c r="A26" s="2" t="s">
        <v>655</v>
      </c>
      <c r="B26" s="12">
        <v>22</v>
      </c>
      <c r="C26" s="2" t="s">
        <v>702</v>
      </c>
      <c r="D26" s="2" t="s">
        <v>738</v>
      </c>
      <c r="E26" s="18">
        <f>Входы!$C$103</f>
        <v>40</v>
      </c>
      <c r="F26" s="18">
        <f>E26*Входы!$C$104/Входы!$C$103</f>
        <v>12</v>
      </c>
      <c r="G26" s="18">
        <f>F26*Входы!$C$105/Входы!$C$104</f>
        <v>6</v>
      </c>
      <c r="H26" s="18">
        <f>Входы!$C$27/12/Входы!$C$40</f>
        <v>0.5</v>
      </c>
      <c r="I26" s="18">
        <f>MIN(G26,H26,(Входы!$C$30/12/Входы!$C$80)/Входы!$C$41,MAX(0,Входы!$C$33/Входы!$C$55-L26+K26)/Входы!$C$41,MAX(0,Входы!$C$21-L26)/Входы!$C$41,MAX(0,Входы!$C$57-SUM(J21:J25))/Входы!$C$41,Входы!$C$106/Входы!$C$41)</f>
        <v>0.5</v>
      </c>
      <c r="J26" s="18">
        <f>I26*Входы!$C$41</f>
        <v>0.25</v>
      </c>
      <c r="K26" s="18">
        <f>0</f>
        <v>0</v>
      </c>
      <c r="L26" s="18">
        <f t="shared" si="6"/>
        <v>4.25</v>
      </c>
      <c r="M26" s="18">
        <f t="shared" si="0"/>
        <v>4.5</v>
      </c>
      <c r="N26" s="18">
        <f t="shared" si="1"/>
        <v>4.375</v>
      </c>
      <c r="O26" s="18">
        <f>I26*Входы!$C$40</f>
        <v>10</v>
      </c>
      <c r="P26" s="18">
        <f>J26*Входы!$C$80</f>
        <v>5</v>
      </c>
      <c r="Q26" s="18">
        <f>N26*Входы!$C$55/12</f>
        <v>8.75</v>
      </c>
      <c r="R26" s="8">
        <f>N26*Входы!$C$75</f>
        <v>109375</v>
      </c>
      <c r="S26" s="8">
        <f>J26*Входы!$C$77</f>
        <v>20000</v>
      </c>
      <c r="T2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6" s="8">
        <f>Входы!$C$94*Входы!$C$153*Входы!$C$95</f>
        <v>48750</v>
      </c>
      <c r="V26" s="8">
        <f>Входы!$C$154</f>
        <v>10000</v>
      </c>
      <c r="W26" s="8">
        <f>0</f>
        <v>0</v>
      </c>
      <c r="X26" s="8">
        <f>I26*Входы!$C$40*Входы!$C$81</f>
        <v>25000</v>
      </c>
      <c r="Y26" s="8">
        <f>J26*(Входы!$C$80*Входы!$C$81+Входы!$C$82)</f>
        <v>16250</v>
      </c>
      <c r="Z26" s="8">
        <f>J26*Входы!$C$96*Входы!$C$75*12</f>
        <v>7500</v>
      </c>
      <c r="AA26" s="8">
        <f>N26*Входы!$C$83</f>
        <v>21875</v>
      </c>
      <c r="AB26" s="8">
        <f t="shared" si="2"/>
        <v>417745.85</v>
      </c>
      <c r="AC26" s="8">
        <f t="shared" si="3"/>
        <v>-288370.84999999998</v>
      </c>
      <c r="AD26" s="8">
        <f t="shared" si="7"/>
        <v>-4509375.6199999992</v>
      </c>
      <c r="AE26" s="18">
        <f>ROUNDUP((T26+U26+V26+W26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6" s="24" t="str">
        <f t="shared" si="4"/>
        <v>Нет</v>
      </c>
      <c r="AG26" s="8">
        <f t="shared" si="5"/>
        <v>-308370.84999999998</v>
      </c>
    </row>
    <row r="27" spans="1:33" ht="25.5" x14ac:dyDescent="0.25">
      <c r="A27" s="2" t="s">
        <v>655</v>
      </c>
      <c r="B27" s="12">
        <v>23</v>
      </c>
      <c r="C27" s="2" t="s">
        <v>702</v>
      </c>
      <c r="D27" s="2" t="s">
        <v>738</v>
      </c>
      <c r="E27" s="18">
        <f>Входы!$C$103</f>
        <v>40</v>
      </c>
      <c r="F27" s="18">
        <f>E27*Входы!$C$104/Входы!$C$103</f>
        <v>12</v>
      </c>
      <c r="G27" s="18">
        <f>F27*Входы!$C$105/Входы!$C$104</f>
        <v>6</v>
      </c>
      <c r="H27" s="18">
        <f>Входы!$C$27/12/Входы!$C$40</f>
        <v>0.5</v>
      </c>
      <c r="I27" s="18">
        <f>MIN(G27,H27,(Входы!$C$30/12/Входы!$C$80)/Входы!$C$41,MAX(0,Входы!$C$33/Входы!$C$55-L27+K27)/Входы!$C$41,MAX(0,Входы!$C$21-L27)/Входы!$C$41,MAX(0,Входы!$C$57-SUM(J21:J26))/Входы!$C$41,Входы!$C$106/Входы!$C$41)</f>
        <v>0.5</v>
      </c>
      <c r="J27" s="18">
        <f>I27*Входы!$C$41</f>
        <v>0.25</v>
      </c>
      <c r="K27" s="18">
        <f>0</f>
        <v>0</v>
      </c>
      <c r="L27" s="18">
        <f t="shared" si="6"/>
        <v>4.5</v>
      </c>
      <c r="M27" s="18">
        <f t="shared" si="0"/>
        <v>4.75</v>
      </c>
      <c r="N27" s="18">
        <f t="shared" si="1"/>
        <v>4.625</v>
      </c>
      <c r="O27" s="18">
        <f>I27*Входы!$C$40</f>
        <v>10</v>
      </c>
      <c r="P27" s="18">
        <f>J27*Входы!$C$80</f>
        <v>5</v>
      </c>
      <c r="Q27" s="18">
        <f>N27*Входы!$C$55/12</f>
        <v>9.25</v>
      </c>
      <c r="R27" s="8">
        <f>N27*Входы!$C$75</f>
        <v>115625</v>
      </c>
      <c r="S27" s="8">
        <f>J27*Входы!$C$77</f>
        <v>20000</v>
      </c>
      <c r="T2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7" s="8">
        <f>Входы!$C$94*Входы!$C$153*Входы!$C$95</f>
        <v>48750</v>
      </c>
      <c r="V27" s="8">
        <f>Входы!$C$154</f>
        <v>10000</v>
      </c>
      <c r="W27" s="8">
        <f>0</f>
        <v>0</v>
      </c>
      <c r="X27" s="8">
        <f>I27*Входы!$C$40*Входы!$C$81</f>
        <v>25000</v>
      </c>
      <c r="Y27" s="8">
        <f>J27*(Входы!$C$80*Входы!$C$81+Входы!$C$82)</f>
        <v>16250</v>
      </c>
      <c r="Z27" s="8">
        <f>J27*Входы!$C$96*Входы!$C$75*12</f>
        <v>7500</v>
      </c>
      <c r="AA27" s="8">
        <f>N27*Входы!$C$83</f>
        <v>23125</v>
      </c>
      <c r="AB27" s="8">
        <f t="shared" si="2"/>
        <v>418995.85</v>
      </c>
      <c r="AC27" s="8">
        <f t="shared" si="3"/>
        <v>-283370.84999999998</v>
      </c>
      <c r="AD27" s="8">
        <f t="shared" si="7"/>
        <v>-4792746.4699999988</v>
      </c>
      <c r="AE27" s="18">
        <f>ROUNDUP((T27+U27+V27+W27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7" s="24" t="str">
        <f t="shared" si="4"/>
        <v>Нет</v>
      </c>
      <c r="AG27" s="8">
        <f t="shared" si="5"/>
        <v>-303370.84999999998</v>
      </c>
    </row>
    <row r="28" spans="1:33" ht="25.5" x14ac:dyDescent="0.25">
      <c r="A28" s="2" t="s">
        <v>655</v>
      </c>
      <c r="B28" s="12">
        <v>24</v>
      </c>
      <c r="C28" s="2" t="s">
        <v>702</v>
      </c>
      <c r="D28" s="2" t="s">
        <v>738</v>
      </c>
      <c r="E28" s="18">
        <f>Входы!$C$103</f>
        <v>40</v>
      </c>
      <c r="F28" s="18">
        <f>E28*Входы!$C$104/Входы!$C$103</f>
        <v>12</v>
      </c>
      <c r="G28" s="18">
        <f>F28*Входы!$C$105/Входы!$C$104</f>
        <v>6</v>
      </c>
      <c r="H28" s="18">
        <f>Входы!$C$27/12/Входы!$C$40</f>
        <v>0.5</v>
      </c>
      <c r="I28" s="18">
        <f>MIN(G28,H28,(Входы!$C$30/12/Входы!$C$80)/Входы!$C$41,MAX(0,Входы!$C$33/Входы!$C$55-L28+K28)/Входы!$C$41,MAX(0,Входы!$C$21-L28)/Входы!$C$41,MAX(0,Входы!$C$57-SUM(J21:J27))/Входы!$C$41,Входы!$C$106/Входы!$C$41)</f>
        <v>0.5</v>
      </c>
      <c r="J28" s="18">
        <f>I28*Входы!$C$41</f>
        <v>0.25</v>
      </c>
      <c r="K28" s="18">
        <f>0</f>
        <v>0</v>
      </c>
      <c r="L28" s="18">
        <f t="shared" si="6"/>
        <v>4.75</v>
      </c>
      <c r="M28" s="18">
        <f t="shared" si="0"/>
        <v>5</v>
      </c>
      <c r="N28" s="18">
        <f t="shared" si="1"/>
        <v>4.875</v>
      </c>
      <c r="O28" s="18">
        <f>I28*Входы!$C$40</f>
        <v>10</v>
      </c>
      <c r="P28" s="18">
        <f>J28*Входы!$C$80</f>
        <v>5</v>
      </c>
      <c r="Q28" s="18">
        <f>N28*Входы!$C$55/12</f>
        <v>9.75</v>
      </c>
      <c r="R28" s="8">
        <f>N28*Входы!$C$75</f>
        <v>121875</v>
      </c>
      <c r="S28" s="8">
        <f>J28*Входы!$C$77</f>
        <v>20000</v>
      </c>
      <c r="T2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8" s="8">
        <f>Входы!$C$94*Входы!$C$153*Входы!$C$95</f>
        <v>48750</v>
      </c>
      <c r="V28" s="8">
        <f>Входы!$C$154</f>
        <v>10000</v>
      </c>
      <c r="W28" s="8">
        <f>0</f>
        <v>0</v>
      </c>
      <c r="X28" s="8">
        <f>I28*Входы!$C$40*Входы!$C$81</f>
        <v>25000</v>
      </c>
      <c r="Y28" s="8">
        <f>J28*(Входы!$C$80*Входы!$C$81+Входы!$C$82)</f>
        <v>16250</v>
      </c>
      <c r="Z28" s="8">
        <f>J28*Входы!$C$96*Входы!$C$75*12</f>
        <v>7500</v>
      </c>
      <c r="AA28" s="8">
        <f>N28*Входы!$C$83</f>
        <v>24375</v>
      </c>
      <c r="AB28" s="8">
        <f t="shared" si="2"/>
        <v>420245.85</v>
      </c>
      <c r="AC28" s="8">
        <f t="shared" si="3"/>
        <v>-278370.84999999998</v>
      </c>
      <c r="AD28" s="8">
        <f t="shared" si="7"/>
        <v>-5071117.3199999984</v>
      </c>
      <c r="AE28" s="18">
        <f>ROUNDUP((T28+U28+V28+W28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8" s="24" t="str">
        <f t="shared" si="4"/>
        <v>Нет</v>
      </c>
      <c r="AG28" s="8">
        <f t="shared" si="5"/>
        <v>-298370.84999999998</v>
      </c>
    </row>
    <row r="29" spans="1:33" ht="25.5" x14ac:dyDescent="0.25">
      <c r="A29" s="2" t="s">
        <v>655</v>
      </c>
      <c r="B29" s="12">
        <v>25</v>
      </c>
      <c r="C29" s="2" t="s">
        <v>702</v>
      </c>
      <c r="D29" s="2" t="s">
        <v>738</v>
      </c>
      <c r="E29" s="18">
        <f>Входы!$C$103</f>
        <v>40</v>
      </c>
      <c r="F29" s="18">
        <f>E29*Входы!$C$104/Входы!$C$103</f>
        <v>12</v>
      </c>
      <c r="G29" s="18">
        <f>F29*Входы!$C$105/Входы!$C$104</f>
        <v>6</v>
      </c>
      <c r="H29" s="18">
        <f>Входы!$C$27/12/Входы!$C$40</f>
        <v>0.5</v>
      </c>
      <c r="I29" s="18">
        <f>MIN(G29,H29,(Входы!$C$30/12/Входы!$C$80)/Входы!$C$41,MAX(0,Входы!$C$33/Входы!$C$55-L29+K29)/Входы!$C$41,MAX(0,Входы!$C$21-L29)/Входы!$C$41,MAX(0,Входы!$C$57-SUM(J21:J28))/Входы!$C$41,Входы!$C$106/Входы!$C$41)</f>
        <v>0.5</v>
      </c>
      <c r="J29" s="18">
        <f>I29*Входы!$C$41</f>
        <v>0.25</v>
      </c>
      <c r="K29" s="18">
        <f t="shared" ref="K29:K68" si="8">J5</f>
        <v>0</v>
      </c>
      <c r="L29" s="18">
        <f t="shared" si="6"/>
        <v>5</v>
      </c>
      <c r="M29" s="18">
        <f t="shared" si="0"/>
        <v>5.25</v>
      </c>
      <c r="N29" s="18">
        <f t="shared" si="1"/>
        <v>5.125</v>
      </c>
      <c r="O29" s="18">
        <f>I29*Входы!$C$40</f>
        <v>10</v>
      </c>
      <c r="P29" s="18">
        <f>J29*Входы!$C$80</f>
        <v>5</v>
      </c>
      <c r="Q29" s="18">
        <f>N29*Входы!$C$55/12</f>
        <v>10.25</v>
      </c>
      <c r="R29" s="8">
        <f>N29*Входы!$C$75</f>
        <v>128125</v>
      </c>
      <c r="S29" s="8">
        <f>J29*Входы!$C$77</f>
        <v>20000</v>
      </c>
      <c r="T2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29" s="8">
        <f>Входы!$C$94*Входы!$C$153*Входы!$C$95</f>
        <v>48750</v>
      </c>
      <c r="V29" s="8">
        <f>Входы!$C$154</f>
        <v>10000</v>
      </c>
      <c r="W29" s="8">
        <f>0</f>
        <v>0</v>
      </c>
      <c r="X29" s="8">
        <f>I29*Входы!$C$40*Входы!$C$81</f>
        <v>25000</v>
      </c>
      <c r="Y29" s="8">
        <f>J29*(Входы!$C$80*Входы!$C$81+Входы!$C$82)</f>
        <v>16250</v>
      </c>
      <c r="Z29" s="8">
        <f>J29*Входы!$C$96*Входы!$C$75*12</f>
        <v>7500</v>
      </c>
      <c r="AA29" s="8">
        <f>N29*Входы!$C$83</f>
        <v>25625</v>
      </c>
      <c r="AB29" s="8">
        <f t="shared" si="2"/>
        <v>421495.85</v>
      </c>
      <c r="AC29" s="8">
        <f t="shared" si="3"/>
        <v>-273370.84999999998</v>
      </c>
      <c r="AD29" s="8">
        <f t="shared" si="7"/>
        <v>-5344488.1699999981</v>
      </c>
      <c r="AE29" s="18">
        <f>ROUNDUP((T29+U29+V29+W29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29" s="24" t="str">
        <f t="shared" si="4"/>
        <v>Нет</v>
      </c>
      <c r="AG29" s="8">
        <f t="shared" si="5"/>
        <v>-293370.84999999998</v>
      </c>
    </row>
    <row r="30" spans="1:33" ht="25.5" x14ac:dyDescent="0.25">
      <c r="A30" s="2" t="s">
        <v>655</v>
      </c>
      <c r="B30" s="12">
        <v>26</v>
      </c>
      <c r="C30" s="2" t="s">
        <v>702</v>
      </c>
      <c r="D30" s="2" t="s">
        <v>738</v>
      </c>
      <c r="E30" s="18">
        <f>Входы!$C$103</f>
        <v>40</v>
      </c>
      <c r="F30" s="18">
        <f>E30*Входы!$C$104/Входы!$C$103</f>
        <v>12</v>
      </c>
      <c r="G30" s="18">
        <f>F30*Входы!$C$105/Входы!$C$104</f>
        <v>6</v>
      </c>
      <c r="H30" s="18">
        <f>Входы!$C$27/12/Входы!$C$40</f>
        <v>0.5</v>
      </c>
      <c r="I30" s="18">
        <f>MIN(G30,H30,(Входы!$C$30/12/Входы!$C$80)/Входы!$C$41,MAX(0,Входы!$C$33/Входы!$C$55-L30+K30)/Входы!$C$41,MAX(0,Входы!$C$21-L30)/Входы!$C$41,MAX(0,Входы!$C$57-SUM(J21:J29))/Входы!$C$41,Входы!$C$106/Входы!$C$41)</f>
        <v>0.5</v>
      </c>
      <c r="J30" s="18">
        <f>I30*Входы!$C$41</f>
        <v>0.25</v>
      </c>
      <c r="K30" s="18">
        <f t="shared" si="8"/>
        <v>0</v>
      </c>
      <c r="L30" s="18">
        <f t="shared" si="6"/>
        <v>5.25</v>
      </c>
      <c r="M30" s="18">
        <f t="shared" si="0"/>
        <v>5.5</v>
      </c>
      <c r="N30" s="18">
        <f t="shared" si="1"/>
        <v>5.375</v>
      </c>
      <c r="O30" s="18">
        <f>I30*Входы!$C$40</f>
        <v>10</v>
      </c>
      <c r="P30" s="18">
        <f>J30*Входы!$C$80</f>
        <v>5</v>
      </c>
      <c r="Q30" s="18">
        <f>N30*Входы!$C$55/12</f>
        <v>10.75</v>
      </c>
      <c r="R30" s="8">
        <f>N30*Входы!$C$75</f>
        <v>134375</v>
      </c>
      <c r="S30" s="8">
        <f>J30*Входы!$C$77</f>
        <v>20000</v>
      </c>
      <c r="T3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0" s="8">
        <f>Входы!$C$94*Входы!$C$153*Входы!$C$95</f>
        <v>48750</v>
      </c>
      <c r="V30" s="8">
        <f>Входы!$C$154</f>
        <v>10000</v>
      </c>
      <c r="W30" s="8">
        <f>0</f>
        <v>0</v>
      </c>
      <c r="X30" s="8">
        <f>I30*Входы!$C$40*Входы!$C$81</f>
        <v>25000</v>
      </c>
      <c r="Y30" s="8">
        <f>J30*(Входы!$C$80*Входы!$C$81+Входы!$C$82)</f>
        <v>16250</v>
      </c>
      <c r="Z30" s="8">
        <f>J30*Входы!$C$96*Входы!$C$75*12</f>
        <v>7500</v>
      </c>
      <c r="AA30" s="8">
        <f>N30*Входы!$C$83</f>
        <v>26875</v>
      </c>
      <c r="AB30" s="8">
        <f t="shared" si="2"/>
        <v>422745.85</v>
      </c>
      <c r="AC30" s="8">
        <f t="shared" si="3"/>
        <v>-268370.84999999998</v>
      </c>
      <c r="AD30" s="8">
        <f t="shared" si="7"/>
        <v>-5612859.0199999977</v>
      </c>
      <c r="AE30" s="18">
        <f>ROUNDUP((T30+U30+V30+W30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30" s="24" t="str">
        <f t="shared" si="4"/>
        <v>Нет</v>
      </c>
      <c r="AG30" s="8">
        <f t="shared" si="5"/>
        <v>-288370.84999999998</v>
      </c>
    </row>
    <row r="31" spans="1:33" ht="25.5" x14ac:dyDescent="0.25">
      <c r="A31" s="2" t="s">
        <v>655</v>
      </c>
      <c r="B31" s="12">
        <v>27</v>
      </c>
      <c r="C31" s="2" t="s">
        <v>702</v>
      </c>
      <c r="D31" s="2" t="s">
        <v>738</v>
      </c>
      <c r="E31" s="18">
        <f>Входы!$C$103</f>
        <v>40</v>
      </c>
      <c r="F31" s="18">
        <f>E31*Входы!$C$104/Входы!$C$103</f>
        <v>12</v>
      </c>
      <c r="G31" s="18">
        <f>F31*Входы!$C$105/Входы!$C$104</f>
        <v>6</v>
      </c>
      <c r="H31" s="18">
        <f>Входы!$C$27/12/Входы!$C$40</f>
        <v>0.5</v>
      </c>
      <c r="I31" s="18">
        <f>MIN(G31,H31,(Входы!$C$30/12/Входы!$C$80)/Входы!$C$41,MAX(0,Входы!$C$33/Входы!$C$55-L31+K31)/Входы!$C$41,MAX(0,Входы!$C$21-L31)/Входы!$C$41,MAX(0,Входы!$C$57-SUM(J21:J30))/Входы!$C$41,Входы!$C$106/Входы!$C$41)</f>
        <v>0.5</v>
      </c>
      <c r="J31" s="18">
        <f>I31*Входы!$C$41</f>
        <v>0.25</v>
      </c>
      <c r="K31" s="18">
        <f t="shared" si="8"/>
        <v>0</v>
      </c>
      <c r="L31" s="18">
        <f t="shared" si="6"/>
        <v>5.5</v>
      </c>
      <c r="M31" s="18">
        <f t="shared" si="0"/>
        <v>5.75</v>
      </c>
      <c r="N31" s="18">
        <f t="shared" si="1"/>
        <v>5.625</v>
      </c>
      <c r="O31" s="18">
        <f>I31*Входы!$C$40</f>
        <v>10</v>
      </c>
      <c r="P31" s="18">
        <f>J31*Входы!$C$80</f>
        <v>5</v>
      </c>
      <c r="Q31" s="18">
        <f>N31*Входы!$C$55/12</f>
        <v>11.25</v>
      </c>
      <c r="R31" s="8">
        <f>N31*Входы!$C$75</f>
        <v>140625</v>
      </c>
      <c r="S31" s="8">
        <f>J31*Входы!$C$77</f>
        <v>20000</v>
      </c>
      <c r="T3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1" s="8">
        <f>Входы!$C$94*Входы!$C$153*Входы!$C$95</f>
        <v>48750</v>
      </c>
      <c r="V31" s="8">
        <f>Входы!$C$154</f>
        <v>10000</v>
      </c>
      <c r="W31" s="8">
        <f>0</f>
        <v>0</v>
      </c>
      <c r="X31" s="8">
        <f>I31*Входы!$C$40*Входы!$C$81</f>
        <v>25000</v>
      </c>
      <c r="Y31" s="8">
        <f>J31*(Входы!$C$80*Входы!$C$81+Входы!$C$82)</f>
        <v>16250</v>
      </c>
      <c r="Z31" s="8">
        <f>J31*Входы!$C$96*Входы!$C$75*12</f>
        <v>7500</v>
      </c>
      <c r="AA31" s="8">
        <f>N31*Входы!$C$83</f>
        <v>28125</v>
      </c>
      <c r="AB31" s="8">
        <f t="shared" si="2"/>
        <v>423995.85</v>
      </c>
      <c r="AC31" s="8">
        <f t="shared" si="3"/>
        <v>-263370.84999999998</v>
      </c>
      <c r="AD31" s="8">
        <f t="shared" si="7"/>
        <v>-5876229.8699999973</v>
      </c>
      <c r="AE31" s="18">
        <f>ROUNDUP((T31+U31+V31+W31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31" s="24" t="str">
        <f t="shared" si="4"/>
        <v>Нет</v>
      </c>
      <c r="AG31" s="8">
        <f t="shared" si="5"/>
        <v>-283370.84999999998</v>
      </c>
    </row>
    <row r="32" spans="1:33" ht="25.5" x14ac:dyDescent="0.25">
      <c r="A32" s="2" t="s">
        <v>655</v>
      </c>
      <c r="B32" s="12">
        <v>28</v>
      </c>
      <c r="C32" s="2" t="s">
        <v>702</v>
      </c>
      <c r="D32" s="2" t="s">
        <v>738</v>
      </c>
      <c r="E32" s="18">
        <f>Входы!$C$103</f>
        <v>40</v>
      </c>
      <c r="F32" s="18">
        <f>E32*Входы!$C$104/Входы!$C$103</f>
        <v>12</v>
      </c>
      <c r="G32" s="18">
        <f>F32*Входы!$C$105/Входы!$C$104</f>
        <v>6</v>
      </c>
      <c r="H32" s="18">
        <f>Входы!$C$27/12/Входы!$C$40</f>
        <v>0.5</v>
      </c>
      <c r="I32" s="18">
        <f>MIN(G32,H32,(Входы!$C$30/12/Входы!$C$80)/Входы!$C$41,MAX(0,Входы!$C$33/Входы!$C$55-L32+K32)/Входы!$C$41,MAX(0,Входы!$C$21-L32)/Входы!$C$41,MAX(0,Входы!$C$57-SUM(J21:J31))/Входы!$C$41,Входы!$C$106/Входы!$C$41)</f>
        <v>0.5</v>
      </c>
      <c r="J32" s="18">
        <f>I32*Входы!$C$41</f>
        <v>0.25</v>
      </c>
      <c r="K32" s="18">
        <f t="shared" si="8"/>
        <v>0</v>
      </c>
      <c r="L32" s="18">
        <f t="shared" si="6"/>
        <v>5.75</v>
      </c>
      <c r="M32" s="18">
        <f t="shared" si="0"/>
        <v>6</v>
      </c>
      <c r="N32" s="18">
        <f t="shared" si="1"/>
        <v>5.875</v>
      </c>
      <c r="O32" s="18">
        <f>I32*Входы!$C$40</f>
        <v>10</v>
      </c>
      <c r="P32" s="18">
        <f>J32*Входы!$C$80</f>
        <v>5</v>
      </c>
      <c r="Q32" s="18">
        <f>N32*Входы!$C$55/12</f>
        <v>11.75</v>
      </c>
      <c r="R32" s="8">
        <f>N32*Входы!$C$75</f>
        <v>146875</v>
      </c>
      <c r="S32" s="8">
        <f>J32*Входы!$C$77</f>
        <v>20000</v>
      </c>
      <c r="T3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2" s="8">
        <f>Входы!$C$94*Входы!$C$153*Входы!$C$95</f>
        <v>48750</v>
      </c>
      <c r="V32" s="8">
        <f>Входы!$C$154</f>
        <v>10000</v>
      </c>
      <c r="W32" s="8">
        <f>0</f>
        <v>0</v>
      </c>
      <c r="X32" s="8">
        <f>I32*Входы!$C$40*Входы!$C$81</f>
        <v>25000</v>
      </c>
      <c r="Y32" s="8">
        <f>J32*(Входы!$C$80*Входы!$C$81+Входы!$C$82)</f>
        <v>16250</v>
      </c>
      <c r="Z32" s="8">
        <f>J32*Входы!$C$96*Входы!$C$75*12</f>
        <v>7500</v>
      </c>
      <c r="AA32" s="8">
        <f>N32*Входы!$C$83</f>
        <v>29375</v>
      </c>
      <c r="AB32" s="8">
        <f t="shared" si="2"/>
        <v>425245.85</v>
      </c>
      <c r="AC32" s="8">
        <f t="shared" si="3"/>
        <v>-258370.84999999998</v>
      </c>
      <c r="AD32" s="8">
        <f t="shared" si="7"/>
        <v>-6134600.7199999969</v>
      </c>
      <c r="AE32" s="18">
        <f>ROUNDUP((T32+U32+V32+W32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32" s="24" t="str">
        <f t="shared" si="4"/>
        <v>Нет</v>
      </c>
      <c r="AG32" s="8">
        <f t="shared" si="5"/>
        <v>-278370.84999999998</v>
      </c>
    </row>
    <row r="33" spans="1:33" ht="38.25" x14ac:dyDescent="0.25">
      <c r="A33" s="2" t="s">
        <v>655</v>
      </c>
      <c r="B33" s="12">
        <v>29</v>
      </c>
      <c r="C33" s="2" t="s">
        <v>739</v>
      </c>
      <c r="D33" s="2" t="s">
        <v>740</v>
      </c>
      <c r="E33" s="18">
        <f>Входы!$C$36</f>
        <v>80</v>
      </c>
      <c r="F33" s="18">
        <f>E33*Входы!$C$37/Входы!$C$36</f>
        <v>24</v>
      </c>
      <c r="G33" s="18">
        <f>F33*Входы!$C$38/Входы!$C$37</f>
        <v>12</v>
      </c>
      <c r="H33" s="18">
        <f>Входы!$C$28/12/Входы!$C$40</f>
        <v>1</v>
      </c>
      <c r="I33" s="18">
        <f>MIN(G33,H33,(Входы!$C$31/12/Входы!$C$80)/Входы!$C$41,MAX(0,Входы!$C$34/Входы!$C$55-L33+K33)/Входы!$C$41,MAX(0,Входы!$C$22-L33)/Входы!$C$41,MAX(0,Входы!$C$58-0)/Входы!$C$41,Входы!$C$39/Входы!$C$41)</f>
        <v>1</v>
      </c>
      <c r="J33" s="18">
        <f>I33*Входы!$C$41</f>
        <v>0.5</v>
      </c>
      <c r="K33" s="18">
        <f t="shared" si="8"/>
        <v>0.25</v>
      </c>
      <c r="L33" s="18">
        <f t="shared" si="6"/>
        <v>6</v>
      </c>
      <c r="M33" s="18">
        <f t="shared" si="0"/>
        <v>6.25</v>
      </c>
      <c r="N33" s="18">
        <f t="shared" si="1"/>
        <v>6.125</v>
      </c>
      <c r="O33" s="18">
        <f>I33*Входы!$C$40</f>
        <v>20</v>
      </c>
      <c r="P33" s="18">
        <f>J33*Входы!$C$80</f>
        <v>10</v>
      </c>
      <c r="Q33" s="18">
        <f>N33*Входы!$C$55/12</f>
        <v>12.25</v>
      </c>
      <c r="R33" s="8">
        <f>N33*Входы!$C$75</f>
        <v>153125</v>
      </c>
      <c r="S33" s="8">
        <f>J33*Входы!$C$77</f>
        <v>40000</v>
      </c>
      <c r="T3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3" s="8">
        <f>Входы!$C$94*Входы!$C$153*Входы!$C$95</f>
        <v>48750</v>
      </c>
      <c r="V33" s="8">
        <f>Входы!$C$154</f>
        <v>10000</v>
      </c>
      <c r="W33" s="8">
        <f>0</f>
        <v>0</v>
      </c>
      <c r="X33" s="8">
        <f>I33*Входы!$C$40*Входы!$C$81</f>
        <v>50000</v>
      </c>
      <c r="Y33" s="8">
        <f>J33*(Входы!$C$80*Входы!$C$81+Входы!$C$82)</f>
        <v>32500</v>
      </c>
      <c r="Z33" s="8">
        <f>J33*Входы!$C$96*Входы!$C$75*12</f>
        <v>15000</v>
      </c>
      <c r="AA33" s="8">
        <f>N33*Входы!$C$83</f>
        <v>30625</v>
      </c>
      <c r="AB33" s="8">
        <f t="shared" si="2"/>
        <v>475245.85</v>
      </c>
      <c r="AC33" s="8">
        <f t="shared" si="3"/>
        <v>-282120.84999999998</v>
      </c>
      <c r="AD33" s="8">
        <f t="shared" si="7"/>
        <v>-6416721.5699999966</v>
      </c>
      <c r="AE33" s="18">
        <f>ROUNDUP((T33+U33+V33+W33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3" s="24" t="str">
        <f t="shared" si="4"/>
        <v>Нет</v>
      </c>
      <c r="AG33" s="8">
        <f t="shared" si="5"/>
        <v>-322120.84999999998</v>
      </c>
    </row>
    <row r="34" spans="1:33" ht="38.25" x14ac:dyDescent="0.25">
      <c r="A34" s="2" t="s">
        <v>655</v>
      </c>
      <c r="B34" s="12">
        <v>30</v>
      </c>
      <c r="C34" s="2" t="s">
        <v>739</v>
      </c>
      <c r="D34" s="2" t="s">
        <v>740</v>
      </c>
      <c r="E34" s="18">
        <f>Входы!$C$36</f>
        <v>80</v>
      </c>
      <c r="F34" s="18">
        <f>E34*Входы!$C$37/Входы!$C$36</f>
        <v>24</v>
      </c>
      <c r="G34" s="18">
        <f>F34*Входы!$C$38/Входы!$C$37</f>
        <v>12</v>
      </c>
      <c r="H34" s="18">
        <f>Входы!$C$28/12/Входы!$C$40</f>
        <v>1</v>
      </c>
      <c r="I34" s="18">
        <f>MIN(G34,H34,(Входы!$C$31/12/Входы!$C$80)/Входы!$C$41,MAX(0,Входы!$C$34/Входы!$C$55-L34+K34)/Входы!$C$41,MAX(0,Входы!$C$22-L34)/Входы!$C$41,MAX(0,Входы!$C$58-SUM(J33:J33))/Входы!$C$41,Входы!$C$39/Входы!$C$41)</f>
        <v>1</v>
      </c>
      <c r="J34" s="18">
        <f>I34*Входы!$C$41</f>
        <v>0.5</v>
      </c>
      <c r="K34" s="18">
        <f t="shared" si="8"/>
        <v>0.25</v>
      </c>
      <c r="L34" s="18">
        <f t="shared" si="6"/>
        <v>6.25</v>
      </c>
      <c r="M34" s="18">
        <f t="shared" si="0"/>
        <v>6.5</v>
      </c>
      <c r="N34" s="18">
        <f t="shared" si="1"/>
        <v>6.375</v>
      </c>
      <c r="O34" s="18">
        <f>I34*Входы!$C$40</f>
        <v>20</v>
      </c>
      <c r="P34" s="18">
        <f>J34*Входы!$C$80</f>
        <v>10</v>
      </c>
      <c r="Q34" s="18">
        <f>N34*Входы!$C$55/12</f>
        <v>12.75</v>
      </c>
      <c r="R34" s="8">
        <f>N34*Входы!$C$75</f>
        <v>159375</v>
      </c>
      <c r="S34" s="8">
        <f>J34*Входы!$C$77</f>
        <v>40000</v>
      </c>
      <c r="T3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4" s="8">
        <f>Входы!$C$94*Входы!$C$153*Входы!$C$95</f>
        <v>48750</v>
      </c>
      <c r="V34" s="8">
        <f>Входы!$C$154</f>
        <v>10000</v>
      </c>
      <c r="W34" s="8">
        <f>0</f>
        <v>0</v>
      </c>
      <c r="X34" s="8">
        <f>I34*Входы!$C$40*Входы!$C$81</f>
        <v>50000</v>
      </c>
      <c r="Y34" s="8">
        <f>J34*(Входы!$C$80*Входы!$C$81+Входы!$C$82)</f>
        <v>32500</v>
      </c>
      <c r="Z34" s="8">
        <f>J34*Входы!$C$96*Входы!$C$75*12</f>
        <v>15000</v>
      </c>
      <c r="AA34" s="8">
        <f>N34*Входы!$C$83</f>
        <v>31875</v>
      </c>
      <c r="AB34" s="8">
        <f t="shared" si="2"/>
        <v>476495.85</v>
      </c>
      <c r="AC34" s="8">
        <f t="shared" si="3"/>
        <v>-277120.84999999998</v>
      </c>
      <c r="AD34" s="8">
        <f t="shared" si="7"/>
        <v>-6693842.4199999962</v>
      </c>
      <c r="AE34" s="18">
        <f>ROUNDUP((T34+U34+V34+W34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4" s="24" t="str">
        <f t="shared" si="4"/>
        <v>Нет</v>
      </c>
      <c r="AG34" s="8">
        <f t="shared" si="5"/>
        <v>-317120.84999999998</v>
      </c>
    </row>
    <row r="35" spans="1:33" ht="38.25" x14ac:dyDescent="0.25">
      <c r="A35" s="2" t="s">
        <v>655</v>
      </c>
      <c r="B35" s="12">
        <v>31</v>
      </c>
      <c r="C35" s="2" t="s">
        <v>739</v>
      </c>
      <c r="D35" s="2" t="s">
        <v>740</v>
      </c>
      <c r="E35" s="18">
        <f>Входы!$C$36</f>
        <v>80</v>
      </c>
      <c r="F35" s="18">
        <f>E35*Входы!$C$37/Входы!$C$36</f>
        <v>24</v>
      </c>
      <c r="G35" s="18">
        <f>F35*Входы!$C$38/Входы!$C$37</f>
        <v>12</v>
      </c>
      <c r="H35" s="18">
        <f>Входы!$C$28/12/Входы!$C$40</f>
        <v>1</v>
      </c>
      <c r="I35" s="18">
        <f>MIN(G35,H35,(Входы!$C$31/12/Входы!$C$80)/Входы!$C$41,MAX(0,Входы!$C$34/Входы!$C$55-L35+K35)/Входы!$C$41,MAX(0,Входы!$C$22-L35)/Входы!$C$41,MAX(0,Входы!$C$58-SUM(J33:J34))/Входы!$C$41,Входы!$C$39/Входы!$C$41)</f>
        <v>1</v>
      </c>
      <c r="J35" s="18">
        <f>I35*Входы!$C$41</f>
        <v>0.5</v>
      </c>
      <c r="K35" s="18">
        <f t="shared" si="8"/>
        <v>0.25</v>
      </c>
      <c r="L35" s="18">
        <f t="shared" si="6"/>
        <v>6.5</v>
      </c>
      <c r="M35" s="18">
        <f t="shared" si="0"/>
        <v>6.75</v>
      </c>
      <c r="N35" s="18">
        <f t="shared" si="1"/>
        <v>6.625</v>
      </c>
      <c r="O35" s="18">
        <f>I35*Входы!$C$40</f>
        <v>20</v>
      </c>
      <c r="P35" s="18">
        <f>J35*Входы!$C$80</f>
        <v>10</v>
      </c>
      <c r="Q35" s="18">
        <f>N35*Входы!$C$55/12</f>
        <v>13.25</v>
      </c>
      <c r="R35" s="8">
        <f>N35*Входы!$C$75</f>
        <v>165625</v>
      </c>
      <c r="S35" s="8">
        <f>J35*Входы!$C$77</f>
        <v>40000</v>
      </c>
      <c r="T3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5" s="8">
        <f>Входы!$C$94*Входы!$C$153*Входы!$C$95</f>
        <v>48750</v>
      </c>
      <c r="V35" s="8">
        <f>Входы!$C$154</f>
        <v>10000</v>
      </c>
      <c r="W35" s="8">
        <f>0</f>
        <v>0</v>
      </c>
      <c r="X35" s="8">
        <f>I35*Входы!$C$40*Входы!$C$81</f>
        <v>50000</v>
      </c>
      <c r="Y35" s="8">
        <f>J35*(Входы!$C$80*Входы!$C$81+Входы!$C$82)</f>
        <v>32500</v>
      </c>
      <c r="Z35" s="8">
        <f>J35*Входы!$C$96*Входы!$C$75*12</f>
        <v>15000</v>
      </c>
      <c r="AA35" s="8">
        <f>N35*Входы!$C$83</f>
        <v>33125</v>
      </c>
      <c r="AB35" s="8">
        <f t="shared" si="2"/>
        <v>477745.85</v>
      </c>
      <c r="AC35" s="8">
        <f t="shared" si="3"/>
        <v>-272120.84999999998</v>
      </c>
      <c r="AD35" s="8">
        <f t="shared" si="7"/>
        <v>-6965963.2699999958</v>
      </c>
      <c r="AE35" s="18">
        <f>ROUNDUP((T35+U35+V35+W35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5" s="24" t="str">
        <f t="shared" si="4"/>
        <v>Нет</v>
      </c>
      <c r="AG35" s="8">
        <f t="shared" si="5"/>
        <v>-312120.84999999998</v>
      </c>
    </row>
    <row r="36" spans="1:33" ht="38.25" x14ac:dyDescent="0.25">
      <c r="A36" s="2" t="s">
        <v>655</v>
      </c>
      <c r="B36" s="12">
        <v>32</v>
      </c>
      <c r="C36" s="2" t="s">
        <v>739</v>
      </c>
      <c r="D36" s="2" t="s">
        <v>740</v>
      </c>
      <c r="E36" s="18">
        <f>Входы!$C$36</f>
        <v>80</v>
      </c>
      <c r="F36" s="18">
        <f>E36*Входы!$C$37/Входы!$C$36</f>
        <v>24</v>
      </c>
      <c r="G36" s="18">
        <f>F36*Входы!$C$38/Входы!$C$37</f>
        <v>12</v>
      </c>
      <c r="H36" s="18">
        <f>Входы!$C$28/12/Входы!$C$40</f>
        <v>1</v>
      </c>
      <c r="I36" s="18">
        <f>MIN(G36,H36,(Входы!$C$31/12/Входы!$C$80)/Входы!$C$41,MAX(0,Входы!$C$34/Входы!$C$55-L36+K36)/Входы!$C$41,MAX(0,Входы!$C$22-L36)/Входы!$C$41,MAX(0,Входы!$C$58-SUM(J33:J35))/Входы!$C$41,Входы!$C$39/Входы!$C$41)</f>
        <v>1</v>
      </c>
      <c r="J36" s="18">
        <f>I36*Входы!$C$41</f>
        <v>0.5</v>
      </c>
      <c r="K36" s="18">
        <f t="shared" si="8"/>
        <v>0.25</v>
      </c>
      <c r="L36" s="18">
        <f t="shared" si="6"/>
        <v>6.75</v>
      </c>
      <c r="M36" s="18">
        <f t="shared" si="0"/>
        <v>7</v>
      </c>
      <c r="N36" s="18">
        <f t="shared" si="1"/>
        <v>6.875</v>
      </c>
      <c r="O36" s="18">
        <f>I36*Входы!$C$40</f>
        <v>20</v>
      </c>
      <c r="P36" s="18">
        <f>J36*Входы!$C$80</f>
        <v>10</v>
      </c>
      <c r="Q36" s="18">
        <f>N36*Входы!$C$55/12</f>
        <v>13.75</v>
      </c>
      <c r="R36" s="8">
        <f>N36*Входы!$C$75</f>
        <v>171875</v>
      </c>
      <c r="S36" s="8">
        <f>J36*Входы!$C$77</f>
        <v>40000</v>
      </c>
      <c r="T3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6" s="8">
        <f>Входы!$C$94*Входы!$C$153*Входы!$C$95</f>
        <v>48750</v>
      </c>
      <c r="V36" s="8">
        <f>Входы!$C$154</f>
        <v>10000</v>
      </c>
      <c r="W36" s="8">
        <f>0</f>
        <v>0</v>
      </c>
      <c r="X36" s="8">
        <f>I36*Входы!$C$40*Входы!$C$81</f>
        <v>50000</v>
      </c>
      <c r="Y36" s="8">
        <f>J36*(Входы!$C$80*Входы!$C$81+Входы!$C$82)</f>
        <v>32500</v>
      </c>
      <c r="Z36" s="8">
        <f>J36*Входы!$C$96*Входы!$C$75*12</f>
        <v>15000</v>
      </c>
      <c r="AA36" s="8">
        <f>N36*Входы!$C$83</f>
        <v>34375</v>
      </c>
      <c r="AB36" s="8">
        <f t="shared" si="2"/>
        <v>478995.85</v>
      </c>
      <c r="AC36" s="8">
        <f t="shared" si="3"/>
        <v>-267120.84999999998</v>
      </c>
      <c r="AD36" s="8">
        <f t="shared" si="7"/>
        <v>-7233084.1199999955</v>
      </c>
      <c r="AE36" s="18">
        <f>ROUNDUP((T36+U36+V36+W36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6" s="24" t="str">
        <f t="shared" si="4"/>
        <v>Нет</v>
      </c>
      <c r="AG36" s="8">
        <f t="shared" si="5"/>
        <v>-307120.84999999998</v>
      </c>
    </row>
    <row r="37" spans="1:33" ht="38.25" x14ac:dyDescent="0.25">
      <c r="A37" s="2" t="s">
        <v>655</v>
      </c>
      <c r="B37" s="12">
        <v>33</v>
      </c>
      <c r="C37" s="2" t="s">
        <v>739</v>
      </c>
      <c r="D37" s="2" t="s">
        <v>740</v>
      </c>
      <c r="E37" s="18">
        <f>Входы!$C$36</f>
        <v>80</v>
      </c>
      <c r="F37" s="18">
        <f>E37*Входы!$C$37/Входы!$C$36</f>
        <v>24</v>
      </c>
      <c r="G37" s="18">
        <f>F37*Входы!$C$38/Входы!$C$37</f>
        <v>12</v>
      </c>
      <c r="H37" s="18">
        <f>Входы!$C$28/12/Входы!$C$40</f>
        <v>1</v>
      </c>
      <c r="I37" s="18">
        <f>MIN(G37,H37,(Входы!$C$31/12/Входы!$C$80)/Входы!$C$41,MAX(0,Входы!$C$34/Входы!$C$55-L37+K37)/Входы!$C$41,MAX(0,Входы!$C$22-L37)/Входы!$C$41,MAX(0,Входы!$C$58-SUM(J33:J36))/Входы!$C$41,Входы!$C$39/Входы!$C$41)</f>
        <v>1</v>
      </c>
      <c r="J37" s="18">
        <f>I37*Входы!$C$41</f>
        <v>0.5</v>
      </c>
      <c r="K37" s="18">
        <f t="shared" si="8"/>
        <v>0.25</v>
      </c>
      <c r="L37" s="18">
        <f t="shared" si="6"/>
        <v>7</v>
      </c>
      <c r="M37" s="18">
        <f t="shared" ref="M37:M68" si="9">MAX(0,L37+J37-K37)</f>
        <v>7.25</v>
      </c>
      <c r="N37" s="18">
        <f t="shared" ref="N37:N68" si="10">(L37+M37)/2</f>
        <v>7.125</v>
      </c>
      <c r="O37" s="18">
        <f>I37*Входы!$C$40</f>
        <v>20</v>
      </c>
      <c r="P37" s="18">
        <f>J37*Входы!$C$80</f>
        <v>10</v>
      </c>
      <c r="Q37" s="18">
        <f>N37*Входы!$C$55/12</f>
        <v>14.25</v>
      </c>
      <c r="R37" s="8">
        <f>N37*Входы!$C$75</f>
        <v>178125</v>
      </c>
      <c r="S37" s="8">
        <f>J37*Входы!$C$77</f>
        <v>40000</v>
      </c>
      <c r="T3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7" s="8">
        <f>Входы!$C$94*Входы!$C$153*Входы!$C$95</f>
        <v>48750</v>
      </c>
      <c r="V37" s="8">
        <f>Входы!$C$154</f>
        <v>10000</v>
      </c>
      <c r="W37" s="8">
        <f>0</f>
        <v>0</v>
      </c>
      <c r="X37" s="8">
        <f>I37*Входы!$C$40*Входы!$C$81</f>
        <v>50000</v>
      </c>
      <c r="Y37" s="8">
        <f>J37*(Входы!$C$80*Входы!$C$81+Входы!$C$82)</f>
        <v>32500</v>
      </c>
      <c r="Z37" s="8">
        <f>J37*Входы!$C$96*Входы!$C$75*12</f>
        <v>15000</v>
      </c>
      <c r="AA37" s="8">
        <f>N37*Входы!$C$83</f>
        <v>35625</v>
      </c>
      <c r="AB37" s="8">
        <f t="shared" ref="AB37:AB68" si="11">SUM(T37:AA37)</f>
        <v>480245.85</v>
      </c>
      <c r="AC37" s="8">
        <f t="shared" ref="AC37:AC68" si="12">SUM(R37:S37)-AB37</f>
        <v>-262120.84999999998</v>
      </c>
      <c r="AD37" s="8">
        <f t="shared" si="7"/>
        <v>-7495204.9699999951</v>
      </c>
      <c r="AE37" s="18">
        <f>ROUNDUP((T37+U37+V37+W37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7" s="24" t="str">
        <f t="shared" ref="AF37:AF68" si="13">IF(AE37&gt;0,IF(M37&gt;=AE37,"Да","Нет"),"")</f>
        <v>Нет</v>
      </c>
      <c r="AG37" s="8">
        <f t="shared" ref="AG37:AG68" si="14">R37-AB37</f>
        <v>-302120.84999999998</v>
      </c>
    </row>
    <row r="38" spans="1:33" ht="38.25" x14ac:dyDescent="0.25">
      <c r="A38" s="2" t="s">
        <v>655</v>
      </c>
      <c r="B38" s="12">
        <v>34</v>
      </c>
      <c r="C38" s="2" t="s">
        <v>739</v>
      </c>
      <c r="D38" s="2" t="s">
        <v>740</v>
      </c>
      <c r="E38" s="18">
        <f>Входы!$C$36</f>
        <v>80</v>
      </c>
      <c r="F38" s="18">
        <f>E38*Входы!$C$37/Входы!$C$36</f>
        <v>24</v>
      </c>
      <c r="G38" s="18">
        <f>F38*Входы!$C$38/Входы!$C$37</f>
        <v>12</v>
      </c>
      <c r="H38" s="18">
        <f>Входы!$C$28/12/Входы!$C$40</f>
        <v>1</v>
      </c>
      <c r="I38" s="18">
        <f>MIN(G38,H38,(Входы!$C$31/12/Входы!$C$80)/Входы!$C$41,MAX(0,Входы!$C$34/Входы!$C$55-L38+K38)/Входы!$C$41,MAX(0,Входы!$C$22-L38)/Входы!$C$41,MAX(0,Входы!$C$58-SUM(J33:J37))/Входы!$C$41,Входы!$C$39/Входы!$C$41)</f>
        <v>1</v>
      </c>
      <c r="J38" s="18">
        <f>I38*Входы!$C$41</f>
        <v>0.5</v>
      </c>
      <c r="K38" s="18">
        <f t="shared" si="8"/>
        <v>0.25</v>
      </c>
      <c r="L38" s="18">
        <f t="shared" ref="L38:L68" si="15">M37</f>
        <v>7.25</v>
      </c>
      <c r="M38" s="18">
        <f t="shared" si="9"/>
        <v>7.5</v>
      </c>
      <c r="N38" s="18">
        <f t="shared" si="10"/>
        <v>7.375</v>
      </c>
      <c r="O38" s="18">
        <f>I38*Входы!$C$40</f>
        <v>20</v>
      </c>
      <c r="P38" s="18">
        <f>J38*Входы!$C$80</f>
        <v>10</v>
      </c>
      <c r="Q38" s="18">
        <f>N38*Входы!$C$55/12</f>
        <v>14.75</v>
      </c>
      <c r="R38" s="8">
        <f>N38*Входы!$C$75</f>
        <v>184375</v>
      </c>
      <c r="S38" s="8">
        <f>J38*Входы!$C$77</f>
        <v>40000</v>
      </c>
      <c r="T3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8" s="8">
        <f>Входы!$C$94*Входы!$C$153*Входы!$C$95</f>
        <v>48750</v>
      </c>
      <c r="V38" s="8">
        <f>Входы!$C$154</f>
        <v>10000</v>
      </c>
      <c r="W38" s="8">
        <f>0</f>
        <v>0</v>
      </c>
      <c r="X38" s="8">
        <f>I38*Входы!$C$40*Входы!$C$81</f>
        <v>50000</v>
      </c>
      <c r="Y38" s="8">
        <f>J38*(Входы!$C$80*Входы!$C$81+Входы!$C$82)</f>
        <v>32500</v>
      </c>
      <c r="Z38" s="8">
        <f>J38*Входы!$C$96*Входы!$C$75*12</f>
        <v>15000</v>
      </c>
      <c r="AA38" s="8">
        <f>N38*Входы!$C$83</f>
        <v>36875</v>
      </c>
      <c r="AB38" s="8">
        <f t="shared" si="11"/>
        <v>481495.85</v>
      </c>
      <c r="AC38" s="8">
        <f t="shared" si="12"/>
        <v>-257120.84999999998</v>
      </c>
      <c r="AD38" s="8">
        <f t="shared" ref="AD38:AD69" si="16">AD37+AC38</f>
        <v>-7752325.8199999947</v>
      </c>
      <c r="AE38" s="18">
        <f>ROUNDUP((T38+U38+V38+W38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8" s="24" t="str">
        <f t="shared" si="13"/>
        <v>Нет</v>
      </c>
      <c r="AG38" s="8">
        <f t="shared" si="14"/>
        <v>-297120.84999999998</v>
      </c>
    </row>
    <row r="39" spans="1:33" ht="38.25" x14ac:dyDescent="0.25">
      <c r="A39" s="2" t="s">
        <v>655</v>
      </c>
      <c r="B39" s="12">
        <v>35</v>
      </c>
      <c r="C39" s="2" t="s">
        <v>739</v>
      </c>
      <c r="D39" s="2" t="s">
        <v>740</v>
      </c>
      <c r="E39" s="18">
        <f>Входы!$C$36</f>
        <v>80</v>
      </c>
      <c r="F39" s="18">
        <f>E39*Входы!$C$37/Входы!$C$36</f>
        <v>24</v>
      </c>
      <c r="G39" s="18">
        <f>F39*Входы!$C$38/Входы!$C$37</f>
        <v>12</v>
      </c>
      <c r="H39" s="18">
        <f>Входы!$C$28/12/Входы!$C$40</f>
        <v>1</v>
      </c>
      <c r="I39" s="18">
        <f>MIN(G39,H39,(Входы!$C$31/12/Входы!$C$80)/Входы!$C$41,MAX(0,Входы!$C$34/Входы!$C$55-L39+K39)/Входы!$C$41,MAX(0,Входы!$C$22-L39)/Входы!$C$41,MAX(0,Входы!$C$58-SUM(J33:J38))/Входы!$C$41,Входы!$C$39/Входы!$C$41)</f>
        <v>1</v>
      </c>
      <c r="J39" s="18">
        <f>I39*Входы!$C$41</f>
        <v>0.5</v>
      </c>
      <c r="K39" s="18">
        <f t="shared" si="8"/>
        <v>0.25</v>
      </c>
      <c r="L39" s="18">
        <f t="shared" si="15"/>
        <v>7.5</v>
      </c>
      <c r="M39" s="18">
        <f t="shared" si="9"/>
        <v>7.75</v>
      </c>
      <c r="N39" s="18">
        <f t="shared" si="10"/>
        <v>7.625</v>
      </c>
      <c r="O39" s="18">
        <f>I39*Входы!$C$40</f>
        <v>20</v>
      </c>
      <c r="P39" s="18">
        <f>J39*Входы!$C$80</f>
        <v>10</v>
      </c>
      <c r="Q39" s="18">
        <f>N39*Входы!$C$55/12</f>
        <v>15.25</v>
      </c>
      <c r="R39" s="8">
        <f>N39*Входы!$C$75</f>
        <v>190625</v>
      </c>
      <c r="S39" s="8">
        <f>J39*Входы!$C$77</f>
        <v>40000</v>
      </c>
      <c r="T3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39" s="8">
        <f>Входы!$C$94*Входы!$C$153*Входы!$C$95</f>
        <v>48750</v>
      </c>
      <c r="V39" s="8">
        <f>Входы!$C$154</f>
        <v>10000</v>
      </c>
      <c r="W39" s="8">
        <f>0</f>
        <v>0</v>
      </c>
      <c r="X39" s="8">
        <f>I39*Входы!$C$40*Входы!$C$81</f>
        <v>50000</v>
      </c>
      <c r="Y39" s="8">
        <f>J39*(Входы!$C$80*Входы!$C$81+Входы!$C$82)</f>
        <v>32500</v>
      </c>
      <c r="Z39" s="8">
        <f>J39*Входы!$C$96*Входы!$C$75*12</f>
        <v>15000</v>
      </c>
      <c r="AA39" s="8">
        <f>N39*Входы!$C$83</f>
        <v>38125</v>
      </c>
      <c r="AB39" s="8">
        <f t="shared" si="11"/>
        <v>482745.85</v>
      </c>
      <c r="AC39" s="8">
        <f t="shared" si="12"/>
        <v>-252120.84999999998</v>
      </c>
      <c r="AD39" s="8">
        <f t="shared" si="16"/>
        <v>-8004446.6699999943</v>
      </c>
      <c r="AE39" s="18">
        <f>ROUNDUP((T39+U39+V39+W39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39" s="24" t="str">
        <f t="shared" si="13"/>
        <v>Нет</v>
      </c>
      <c r="AG39" s="8">
        <f t="shared" si="14"/>
        <v>-292120.84999999998</v>
      </c>
    </row>
    <row r="40" spans="1:33" ht="38.25" x14ac:dyDescent="0.25">
      <c r="A40" s="2" t="s">
        <v>655</v>
      </c>
      <c r="B40" s="12">
        <v>36</v>
      </c>
      <c r="C40" s="2" t="s">
        <v>739</v>
      </c>
      <c r="D40" s="2" t="s">
        <v>740</v>
      </c>
      <c r="E40" s="18">
        <f>Входы!$C$36</f>
        <v>80</v>
      </c>
      <c r="F40" s="18">
        <f>E40*Входы!$C$37/Входы!$C$36</f>
        <v>24</v>
      </c>
      <c r="G40" s="18">
        <f>F40*Входы!$C$38/Входы!$C$37</f>
        <v>12</v>
      </c>
      <c r="H40" s="18">
        <f>Входы!$C$28/12/Входы!$C$40</f>
        <v>1</v>
      </c>
      <c r="I40" s="18">
        <f>MIN(G40,H40,(Входы!$C$31/12/Входы!$C$80)/Входы!$C$41,MAX(0,Входы!$C$34/Входы!$C$55-L40+K40)/Входы!$C$41,MAX(0,Входы!$C$22-L40)/Входы!$C$41,MAX(0,Входы!$C$58-SUM(J33:J39))/Входы!$C$41,Входы!$C$39/Входы!$C$41)</f>
        <v>1</v>
      </c>
      <c r="J40" s="18">
        <f>I40*Входы!$C$41</f>
        <v>0.5</v>
      </c>
      <c r="K40" s="18">
        <f t="shared" si="8"/>
        <v>0.25</v>
      </c>
      <c r="L40" s="18">
        <f t="shared" si="15"/>
        <v>7.75</v>
      </c>
      <c r="M40" s="18">
        <f t="shared" si="9"/>
        <v>8</v>
      </c>
      <c r="N40" s="18">
        <f t="shared" si="10"/>
        <v>7.875</v>
      </c>
      <c r="O40" s="18">
        <f>I40*Входы!$C$40</f>
        <v>20</v>
      </c>
      <c r="P40" s="18">
        <f>J40*Входы!$C$80</f>
        <v>10</v>
      </c>
      <c r="Q40" s="18">
        <f>N40*Входы!$C$55/12</f>
        <v>15.75</v>
      </c>
      <c r="R40" s="8">
        <f>N40*Входы!$C$75</f>
        <v>196875</v>
      </c>
      <c r="S40" s="8">
        <f>J40*Входы!$C$77</f>
        <v>40000</v>
      </c>
      <c r="T4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0" s="8">
        <f>Входы!$C$94*Входы!$C$153*Входы!$C$95</f>
        <v>48750</v>
      </c>
      <c r="V40" s="8">
        <f>Входы!$C$154</f>
        <v>10000</v>
      </c>
      <c r="W40" s="8">
        <f>0</f>
        <v>0</v>
      </c>
      <c r="X40" s="8">
        <f>I40*Входы!$C$40*Входы!$C$81</f>
        <v>50000</v>
      </c>
      <c r="Y40" s="8">
        <f>J40*(Входы!$C$80*Входы!$C$81+Входы!$C$82)</f>
        <v>32500</v>
      </c>
      <c r="Z40" s="8">
        <f>J40*Входы!$C$96*Входы!$C$75*12</f>
        <v>15000</v>
      </c>
      <c r="AA40" s="8">
        <f>N40*Входы!$C$83</f>
        <v>39375</v>
      </c>
      <c r="AB40" s="8">
        <f t="shared" si="11"/>
        <v>483995.85</v>
      </c>
      <c r="AC40" s="8">
        <f t="shared" si="12"/>
        <v>-247120.84999999998</v>
      </c>
      <c r="AD40" s="8">
        <f t="shared" si="16"/>
        <v>-8251567.519999994</v>
      </c>
      <c r="AE40" s="18">
        <f>ROUNDUP((T40+U40+V40+W40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0" s="24" t="str">
        <f t="shared" si="13"/>
        <v>Нет</v>
      </c>
      <c r="AG40" s="8">
        <f t="shared" si="14"/>
        <v>-287120.84999999998</v>
      </c>
    </row>
    <row r="41" spans="1:33" ht="38.25" x14ac:dyDescent="0.25">
      <c r="A41" s="2" t="s">
        <v>655</v>
      </c>
      <c r="B41" s="12">
        <v>37</v>
      </c>
      <c r="C41" s="2" t="s">
        <v>739</v>
      </c>
      <c r="D41" s="2" t="s">
        <v>740</v>
      </c>
      <c r="E41" s="18">
        <f>Входы!$C$36</f>
        <v>80</v>
      </c>
      <c r="F41" s="18">
        <f>E41*Входы!$C$37/Входы!$C$36</f>
        <v>24</v>
      </c>
      <c r="G41" s="18">
        <f>F41*Входы!$C$38/Входы!$C$37</f>
        <v>12</v>
      </c>
      <c r="H41" s="18">
        <f>Входы!$C$28/12/Входы!$C$40</f>
        <v>1</v>
      </c>
      <c r="I41" s="18">
        <f>MIN(G41,H41,(Входы!$C$31/12/Входы!$C$80)/Входы!$C$41,MAX(0,Входы!$C$34/Входы!$C$55-L41+K41)/Входы!$C$41,MAX(0,Входы!$C$22-L41)/Входы!$C$41,MAX(0,Входы!$C$58-SUM(J33:J40))/Входы!$C$41,Входы!$C$39/Входы!$C$41)</f>
        <v>1</v>
      </c>
      <c r="J41" s="18">
        <f>I41*Входы!$C$41</f>
        <v>0.5</v>
      </c>
      <c r="K41" s="18">
        <f t="shared" si="8"/>
        <v>0.25</v>
      </c>
      <c r="L41" s="18">
        <f t="shared" si="15"/>
        <v>8</v>
      </c>
      <c r="M41" s="18">
        <f t="shared" si="9"/>
        <v>8.25</v>
      </c>
      <c r="N41" s="18">
        <f t="shared" si="10"/>
        <v>8.125</v>
      </c>
      <c r="O41" s="18">
        <f>I41*Входы!$C$40</f>
        <v>20</v>
      </c>
      <c r="P41" s="18">
        <f>J41*Входы!$C$80</f>
        <v>10</v>
      </c>
      <c r="Q41" s="18">
        <f>N41*Входы!$C$55/12</f>
        <v>16.25</v>
      </c>
      <c r="R41" s="8">
        <f>N41*Входы!$C$75</f>
        <v>203125</v>
      </c>
      <c r="S41" s="8">
        <f>J41*Входы!$C$77</f>
        <v>40000</v>
      </c>
      <c r="T4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1" s="8">
        <f>Входы!$C$94*Входы!$C$153*Входы!$C$95</f>
        <v>48750</v>
      </c>
      <c r="V41" s="8">
        <f>Входы!$C$154</f>
        <v>10000</v>
      </c>
      <c r="W41" s="8">
        <f>0</f>
        <v>0</v>
      </c>
      <c r="X41" s="8">
        <f>I41*Входы!$C$40*Входы!$C$81</f>
        <v>50000</v>
      </c>
      <c r="Y41" s="8">
        <f>J41*(Входы!$C$80*Входы!$C$81+Входы!$C$82)</f>
        <v>32500</v>
      </c>
      <c r="Z41" s="8">
        <f>J41*Входы!$C$96*Входы!$C$75*12</f>
        <v>15000</v>
      </c>
      <c r="AA41" s="8">
        <f>N41*Входы!$C$83</f>
        <v>40625</v>
      </c>
      <c r="AB41" s="8">
        <f t="shared" si="11"/>
        <v>485245.85</v>
      </c>
      <c r="AC41" s="8">
        <f t="shared" si="12"/>
        <v>-242120.84999999998</v>
      </c>
      <c r="AD41" s="8">
        <f t="shared" si="16"/>
        <v>-8493688.3699999936</v>
      </c>
      <c r="AE41" s="18">
        <f>ROUNDUP((T41+U41+V41+W41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1" s="24" t="str">
        <f t="shared" si="13"/>
        <v>Нет</v>
      </c>
      <c r="AG41" s="8">
        <f t="shared" si="14"/>
        <v>-282120.84999999998</v>
      </c>
    </row>
    <row r="42" spans="1:33" ht="38.25" x14ac:dyDescent="0.25">
      <c r="A42" s="2" t="s">
        <v>655</v>
      </c>
      <c r="B42" s="12">
        <v>38</v>
      </c>
      <c r="C42" s="2" t="s">
        <v>739</v>
      </c>
      <c r="D42" s="2" t="s">
        <v>740</v>
      </c>
      <c r="E42" s="18">
        <f>Входы!$C$36</f>
        <v>80</v>
      </c>
      <c r="F42" s="18">
        <f>E42*Входы!$C$37/Входы!$C$36</f>
        <v>24</v>
      </c>
      <c r="G42" s="18">
        <f>F42*Входы!$C$38/Входы!$C$37</f>
        <v>12</v>
      </c>
      <c r="H42" s="18">
        <f>Входы!$C$28/12/Входы!$C$40</f>
        <v>1</v>
      </c>
      <c r="I42" s="18">
        <f>MIN(G42,H42,(Входы!$C$31/12/Входы!$C$80)/Входы!$C$41,MAX(0,Входы!$C$34/Входы!$C$55-L42+K42)/Входы!$C$41,MAX(0,Входы!$C$22-L42)/Входы!$C$41,MAX(0,Входы!$C$58-SUM(J33:J41))/Входы!$C$41,Входы!$C$39/Входы!$C$41)</f>
        <v>1</v>
      </c>
      <c r="J42" s="18">
        <f>I42*Входы!$C$41</f>
        <v>0.5</v>
      </c>
      <c r="K42" s="18">
        <f t="shared" si="8"/>
        <v>0.25</v>
      </c>
      <c r="L42" s="18">
        <f t="shared" si="15"/>
        <v>8.25</v>
      </c>
      <c r="M42" s="18">
        <f t="shared" si="9"/>
        <v>8.5</v>
      </c>
      <c r="N42" s="18">
        <f t="shared" si="10"/>
        <v>8.375</v>
      </c>
      <c r="O42" s="18">
        <f>I42*Входы!$C$40</f>
        <v>20</v>
      </c>
      <c r="P42" s="18">
        <f>J42*Входы!$C$80</f>
        <v>10</v>
      </c>
      <c r="Q42" s="18">
        <f>N42*Входы!$C$55/12</f>
        <v>16.75</v>
      </c>
      <c r="R42" s="8">
        <f>N42*Входы!$C$75</f>
        <v>209375</v>
      </c>
      <c r="S42" s="8">
        <f>J42*Входы!$C$77</f>
        <v>40000</v>
      </c>
      <c r="T4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2" s="8">
        <f>Входы!$C$94*Входы!$C$153*Входы!$C$95</f>
        <v>48750</v>
      </c>
      <c r="V42" s="8">
        <f>Входы!$C$154</f>
        <v>10000</v>
      </c>
      <c r="W42" s="8">
        <f>0</f>
        <v>0</v>
      </c>
      <c r="X42" s="8">
        <f>I42*Входы!$C$40*Входы!$C$81</f>
        <v>50000</v>
      </c>
      <c r="Y42" s="8">
        <f>J42*(Входы!$C$80*Входы!$C$81+Входы!$C$82)</f>
        <v>32500</v>
      </c>
      <c r="Z42" s="8">
        <f>J42*Входы!$C$96*Входы!$C$75*12</f>
        <v>15000</v>
      </c>
      <c r="AA42" s="8">
        <f>N42*Входы!$C$83</f>
        <v>41875</v>
      </c>
      <c r="AB42" s="8">
        <f t="shared" si="11"/>
        <v>486495.85</v>
      </c>
      <c r="AC42" s="8">
        <f t="shared" si="12"/>
        <v>-237120.84999999998</v>
      </c>
      <c r="AD42" s="8">
        <f t="shared" si="16"/>
        <v>-8730809.2199999932</v>
      </c>
      <c r="AE42" s="18">
        <f>ROUNDUP((T42+U42+V42+W42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2" s="24" t="str">
        <f t="shared" si="13"/>
        <v>Нет</v>
      </c>
      <c r="AG42" s="8">
        <f t="shared" si="14"/>
        <v>-277120.84999999998</v>
      </c>
    </row>
    <row r="43" spans="1:33" ht="38.25" x14ac:dyDescent="0.25">
      <c r="A43" s="2" t="s">
        <v>655</v>
      </c>
      <c r="B43" s="12">
        <v>39</v>
      </c>
      <c r="C43" s="2" t="s">
        <v>739</v>
      </c>
      <c r="D43" s="2" t="s">
        <v>740</v>
      </c>
      <c r="E43" s="18">
        <f>Входы!$C$36</f>
        <v>80</v>
      </c>
      <c r="F43" s="18">
        <f>E43*Входы!$C$37/Входы!$C$36</f>
        <v>24</v>
      </c>
      <c r="G43" s="18">
        <f>F43*Входы!$C$38/Входы!$C$37</f>
        <v>12</v>
      </c>
      <c r="H43" s="18">
        <f>Входы!$C$28/12/Входы!$C$40</f>
        <v>1</v>
      </c>
      <c r="I43" s="18">
        <f>MIN(G43,H43,(Входы!$C$31/12/Входы!$C$80)/Входы!$C$41,MAX(0,Входы!$C$34/Входы!$C$55-L43+K43)/Входы!$C$41,MAX(0,Входы!$C$22-L43)/Входы!$C$41,MAX(0,Входы!$C$58-SUM(J33:J42))/Входы!$C$41,Входы!$C$39/Входы!$C$41)</f>
        <v>1</v>
      </c>
      <c r="J43" s="18">
        <f>I43*Входы!$C$41</f>
        <v>0.5</v>
      </c>
      <c r="K43" s="18">
        <f t="shared" si="8"/>
        <v>0.25</v>
      </c>
      <c r="L43" s="18">
        <f t="shared" si="15"/>
        <v>8.5</v>
      </c>
      <c r="M43" s="18">
        <f t="shared" si="9"/>
        <v>8.75</v>
      </c>
      <c r="N43" s="18">
        <f t="shared" si="10"/>
        <v>8.625</v>
      </c>
      <c r="O43" s="18">
        <f>I43*Входы!$C$40</f>
        <v>20</v>
      </c>
      <c r="P43" s="18">
        <f>J43*Входы!$C$80</f>
        <v>10</v>
      </c>
      <c r="Q43" s="18">
        <f>N43*Входы!$C$55/12</f>
        <v>17.25</v>
      </c>
      <c r="R43" s="8">
        <f>N43*Входы!$C$75</f>
        <v>215625</v>
      </c>
      <c r="S43" s="8">
        <f>J43*Входы!$C$77</f>
        <v>40000</v>
      </c>
      <c r="T4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3" s="8">
        <f>Входы!$C$94*Входы!$C$153*Входы!$C$95</f>
        <v>48750</v>
      </c>
      <c r="V43" s="8">
        <f>Входы!$C$154</f>
        <v>10000</v>
      </c>
      <c r="W43" s="8">
        <f>0</f>
        <v>0</v>
      </c>
      <c r="X43" s="8">
        <f>I43*Входы!$C$40*Входы!$C$81</f>
        <v>50000</v>
      </c>
      <c r="Y43" s="8">
        <f>J43*(Входы!$C$80*Входы!$C$81+Входы!$C$82)</f>
        <v>32500</v>
      </c>
      <c r="Z43" s="8">
        <f>J43*Входы!$C$96*Входы!$C$75*12</f>
        <v>15000</v>
      </c>
      <c r="AA43" s="8">
        <f>N43*Входы!$C$83</f>
        <v>43125</v>
      </c>
      <c r="AB43" s="8">
        <f t="shared" si="11"/>
        <v>487745.85</v>
      </c>
      <c r="AC43" s="8">
        <f t="shared" si="12"/>
        <v>-232120.84999999998</v>
      </c>
      <c r="AD43" s="8">
        <f t="shared" si="16"/>
        <v>-8962930.0699999928</v>
      </c>
      <c r="AE43" s="18">
        <f>ROUNDUP((T43+U43+V43+W43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3" s="24" t="str">
        <f t="shared" si="13"/>
        <v>Нет</v>
      </c>
      <c r="AG43" s="8">
        <f t="shared" si="14"/>
        <v>-272120.84999999998</v>
      </c>
    </row>
    <row r="44" spans="1:33" ht="38.25" x14ac:dyDescent="0.25">
      <c r="A44" s="2" t="s">
        <v>655</v>
      </c>
      <c r="B44" s="12">
        <v>40</v>
      </c>
      <c r="C44" s="2" t="s">
        <v>739</v>
      </c>
      <c r="D44" s="2" t="s">
        <v>740</v>
      </c>
      <c r="E44" s="18">
        <f>Входы!$C$36</f>
        <v>80</v>
      </c>
      <c r="F44" s="18">
        <f>E44*Входы!$C$37/Входы!$C$36</f>
        <v>24</v>
      </c>
      <c r="G44" s="18">
        <f>F44*Входы!$C$38/Входы!$C$37</f>
        <v>12</v>
      </c>
      <c r="H44" s="18">
        <f>Входы!$C$28/12/Входы!$C$40</f>
        <v>1</v>
      </c>
      <c r="I44" s="18">
        <f>MIN(G44,H44,(Входы!$C$31/12/Входы!$C$80)/Входы!$C$41,MAX(0,Входы!$C$34/Входы!$C$55-L44+K44)/Входы!$C$41,MAX(0,Входы!$C$22-L44)/Входы!$C$41,MAX(0,Входы!$C$58-SUM(J33:J43))/Входы!$C$41,Входы!$C$39/Входы!$C$41)</f>
        <v>1</v>
      </c>
      <c r="J44" s="18">
        <f>I44*Входы!$C$41</f>
        <v>0.5</v>
      </c>
      <c r="K44" s="18">
        <f t="shared" si="8"/>
        <v>0.25</v>
      </c>
      <c r="L44" s="18">
        <f t="shared" si="15"/>
        <v>8.75</v>
      </c>
      <c r="M44" s="18">
        <f t="shared" si="9"/>
        <v>9</v>
      </c>
      <c r="N44" s="18">
        <f t="shared" si="10"/>
        <v>8.875</v>
      </c>
      <c r="O44" s="18">
        <f>I44*Входы!$C$40</f>
        <v>20</v>
      </c>
      <c r="P44" s="18">
        <f>J44*Входы!$C$80</f>
        <v>10</v>
      </c>
      <c r="Q44" s="18">
        <f>N44*Входы!$C$55/12</f>
        <v>17.75</v>
      </c>
      <c r="R44" s="8">
        <f>N44*Входы!$C$75</f>
        <v>221875</v>
      </c>
      <c r="S44" s="8">
        <f>J44*Входы!$C$77</f>
        <v>40000</v>
      </c>
      <c r="T4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4" s="8">
        <f>Входы!$C$94*Входы!$C$153*Входы!$C$95</f>
        <v>48750</v>
      </c>
      <c r="V44" s="8">
        <f>Входы!$C$154</f>
        <v>10000</v>
      </c>
      <c r="W44" s="8">
        <f>0</f>
        <v>0</v>
      </c>
      <c r="X44" s="8">
        <f>I44*Входы!$C$40*Входы!$C$81</f>
        <v>50000</v>
      </c>
      <c r="Y44" s="8">
        <f>J44*(Входы!$C$80*Входы!$C$81+Входы!$C$82)</f>
        <v>32500</v>
      </c>
      <c r="Z44" s="8">
        <f>J44*Входы!$C$96*Входы!$C$75*12</f>
        <v>15000</v>
      </c>
      <c r="AA44" s="8">
        <f>N44*Входы!$C$83</f>
        <v>44375</v>
      </c>
      <c r="AB44" s="8">
        <f t="shared" si="11"/>
        <v>488995.85</v>
      </c>
      <c r="AC44" s="8">
        <f t="shared" si="12"/>
        <v>-227120.84999999998</v>
      </c>
      <c r="AD44" s="8">
        <f t="shared" si="16"/>
        <v>-9190050.9199999925</v>
      </c>
      <c r="AE44" s="18">
        <f>ROUNDUP((T44+U44+V44+W44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4" s="24" t="str">
        <f t="shared" si="13"/>
        <v>Нет</v>
      </c>
      <c r="AG44" s="8">
        <f t="shared" si="14"/>
        <v>-267120.84999999998</v>
      </c>
    </row>
    <row r="45" spans="1:33" ht="38.25" x14ac:dyDescent="0.25">
      <c r="A45" s="2" t="s">
        <v>655</v>
      </c>
      <c r="B45" s="12">
        <v>41</v>
      </c>
      <c r="C45" s="2" t="s">
        <v>741</v>
      </c>
      <c r="D45" s="2" t="s">
        <v>740</v>
      </c>
      <c r="E45" s="18">
        <f>Входы!$C$36</f>
        <v>80</v>
      </c>
      <c r="F45" s="18">
        <f>E45*Входы!$C$37/Входы!$C$36</f>
        <v>24</v>
      </c>
      <c r="G45" s="18">
        <f>F45*Входы!$C$38/Входы!$C$37</f>
        <v>12</v>
      </c>
      <c r="H45" s="18">
        <f>Входы!$C$28/12/Входы!$C$40</f>
        <v>1</v>
      </c>
      <c r="I45" s="18">
        <f>MIN(G45,H45,(Входы!$C$31/12/Входы!$C$80)/Входы!$C$41,MAX(0,Входы!$C$34/Входы!$C$55-L45+K45)/Входы!$C$41,MAX(0,Входы!$C$22-L45)/Входы!$C$41,MAX(0,Входы!$C$58-0)/Входы!$C$41,Входы!$C$39/Входы!$C$41)</f>
        <v>1</v>
      </c>
      <c r="J45" s="18">
        <f>I45*Входы!$C$41</f>
        <v>0.5</v>
      </c>
      <c r="K45" s="18">
        <f t="shared" si="8"/>
        <v>0.25</v>
      </c>
      <c r="L45" s="18">
        <f t="shared" si="15"/>
        <v>9</v>
      </c>
      <c r="M45" s="18">
        <f t="shared" si="9"/>
        <v>9.25</v>
      </c>
      <c r="N45" s="18">
        <f t="shared" si="10"/>
        <v>9.125</v>
      </c>
      <c r="O45" s="18">
        <f>I45*Входы!$C$40</f>
        <v>20</v>
      </c>
      <c r="P45" s="18">
        <f>J45*Входы!$C$80</f>
        <v>10</v>
      </c>
      <c r="Q45" s="18">
        <f>N45*Входы!$C$55/12</f>
        <v>18.25</v>
      </c>
      <c r="R45" s="8">
        <f>N45*Входы!$C$75</f>
        <v>228125</v>
      </c>
      <c r="S45" s="8">
        <f>J45*Входы!$C$77</f>
        <v>40000</v>
      </c>
      <c r="T4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5" s="8">
        <f>Входы!$C$94*Входы!$C$153*Входы!$C$95</f>
        <v>48750</v>
      </c>
      <c r="V45" s="8">
        <f>Входы!$C$154</f>
        <v>10000</v>
      </c>
      <c r="W45" s="8">
        <f>0</f>
        <v>0</v>
      </c>
      <c r="X45" s="8">
        <f>I45*Входы!$C$40*Входы!$C$81</f>
        <v>50000</v>
      </c>
      <c r="Y45" s="8">
        <f>J45*(Входы!$C$80*Входы!$C$81+Входы!$C$82)</f>
        <v>32500</v>
      </c>
      <c r="Z45" s="8">
        <f>J45*Входы!$C$96*Входы!$C$75*12</f>
        <v>15000</v>
      </c>
      <c r="AA45" s="8">
        <f>N45*Входы!$C$83</f>
        <v>45625</v>
      </c>
      <c r="AB45" s="8">
        <f t="shared" si="11"/>
        <v>490245.85</v>
      </c>
      <c r="AC45" s="8">
        <f t="shared" si="12"/>
        <v>-222120.84999999998</v>
      </c>
      <c r="AD45" s="8">
        <f t="shared" si="16"/>
        <v>-9412171.7699999921</v>
      </c>
      <c r="AE45" s="18">
        <f>ROUNDUP((T45+U45+V45+W45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5" s="24" t="str">
        <f t="shared" si="13"/>
        <v>Нет</v>
      </c>
      <c r="AG45" s="8">
        <f t="shared" si="14"/>
        <v>-262120.84999999998</v>
      </c>
    </row>
    <row r="46" spans="1:33" ht="38.25" x14ac:dyDescent="0.25">
      <c r="A46" s="2" t="s">
        <v>655</v>
      </c>
      <c r="B46" s="12">
        <v>42</v>
      </c>
      <c r="C46" s="2" t="s">
        <v>741</v>
      </c>
      <c r="D46" s="2" t="s">
        <v>740</v>
      </c>
      <c r="E46" s="18">
        <f>Входы!$C$36</f>
        <v>80</v>
      </c>
      <c r="F46" s="18">
        <f>E46*Входы!$C$37/Входы!$C$36</f>
        <v>24</v>
      </c>
      <c r="G46" s="18">
        <f>F46*Входы!$C$38/Входы!$C$37</f>
        <v>12</v>
      </c>
      <c r="H46" s="18">
        <f>Входы!$C$28/12/Входы!$C$40</f>
        <v>1</v>
      </c>
      <c r="I46" s="18">
        <f>MIN(G46,H46,(Входы!$C$31/12/Входы!$C$80)/Входы!$C$41,MAX(0,Входы!$C$34/Входы!$C$55-L46+K46)/Входы!$C$41,MAX(0,Входы!$C$22-L46)/Входы!$C$41,MAX(0,Входы!$C$58-SUM(J45:J45))/Входы!$C$41,Входы!$C$39/Входы!$C$41)</f>
        <v>1</v>
      </c>
      <c r="J46" s="18">
        <f>I46*Входы!$C$41</f>
        <v>0.5</v>
      </c>
      <c r="K46" s="18">
        <f t="shared" si="8"/>
        <v>0.25</v>
      </c>
      <c r="L46" s="18">
        <f t="shared" si="15"/>
        <v>9.25</v>
      </c>
      <c r="M46" s="18">
        <f t="shared" si="9"/>
        <v>9.5</v>
      </c>
      <c r="N46" s="18">
        <f t="shared" si="10"/>
        <v>9.375</v>
      </c>
      <c r="O46" s="18">
        <f>I46*Входы!$C$40</f>
        <v>20</v>
      </c>
      <c r="P46" s="18">
        <f>J46*Входы!$C$80</f>
        <v>10</v>
      </c>
      <c r="Q46" s="18">
        <f>N46*Входы!$C$55/12</f>
        <v>18.75</v>
      </c>
      <c r="R46" s="8">
        <f>N46*Входы!$C$75</f>
        <v>234375</v>
      </c>
      <c r="S46" s="8">
        <f>J46*Входы!$C$77</f>
        <v>40000</v>
      </c>
      <c r="T4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6" s="8">
        <f>Входы!$C$94*Входы!$C$153*Входы!$C$95</f>
        <v>48750</v>
      </c>
      <c r="V46" s="8">
        <f>Входы!$C$154</f>
        <v>10000</v>
      </c>
      <c r="W46" s="8">
        <f>0</f>
        <v>0</v>
      </c>
      <c r="X46" s="8">
        <f>I46*Входы!$C$40*Входы!$C$81</f>
        <v>50000</v>
      </c>
      <c r="Y46" s="8">
        <f>J46*(Входы!$C$80*Входы!$C$81+Входы!$C$82)</f>
        <v>32500</v>
      </c>
      <c r="Z46" s="8">
        <f>J46*Входы!$C$96*Входы!$C$75*12</f>
        <v>15000</v>
      </c>
      <c r="AA46" s="8">
        <f>N46*Входы!$C$83</f>
        <v>46875</v>
      </c>
      <c r="AB46" s="8">
        <f t="shared" si="11"/>
        <v>491495.85</v>
      </c>
      <c r="AC46" s="8">
        <f t="shared" si="12"/>
        <v>-217120.84999999998</v>
      </c>
      <c r="AD46" s="8">
        <f t="shared" si="16"/>
        <v>-9629292.6199999917</v>
      </c>
      <c r="AE46" s="18">
        <f>ROUNDUP((T46+U46+V46+W46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6" s="24" t="str">
        <f t="shared" si="13"/>
        <v>Нет</v>
      </c>
      <c r="AG46" s="8">
        <f t="shared" si="14"/>
        <v>-257120.84999999998</v>
      </c>
    </row>
    <row r="47" spans="1:33" ht="38.25" x14ac:dyDescent="0.25">
      <c r="A47" s="2" t="s">
        <v>655</v>
      </c>
      <c r="B47" s="12">
        <v>43</v>
      </c>
      <c r="C47" s="2" t="s">
        <v>741</v>
      </c>
      <c r="D47" s="2" t="s">
        <v>740</v>
      </c>
      <c r="E47" s="18">
        <f>Входы!$C$36</f>
        <v>80</v>
      </c>
      <c r="F47" s="18">
        <f>E47*Входы!$C$37/Входы!$C$36</f>
        <v>24</v>
      </c>
      <c r="G47" s="18">
        <f>F47*Входы!$C$38/Входы!$C$37</f>
        <v>12</v>
      </c>
      <c r="H47" s="18">
        <f>Входы!$C$28/12/Входы!$C$40</f>
        <v>1</v>
      </c>
      <c r="I47" s="18">
        <f>MIN(G47,H47,(Входы!$C$31/12/Входы!$C$80)/Входы!$C$41,MAX(0,Входы!$C$34/Входы!$C$55-L47+K47)/Входы!$C$41,MAX(0,Входы!$C$22-L47)/Входы!$C$41,MAX(0,Входы!$C$58-SUM(J45:J46))/Входы!$C$41,Входы!$C$39/Входы!$C$41)</f>
        <v>1</v>
      </c>
      <c r="J47" s="18">
        <f>I47*Входы!$C$41</f>
        <v>0.5</v>
      </c>
      <c r="K47" s="18">
        <f t="shared" si="8"/>
        <v>0.25</v>
      </c>
      <c r="L47" s="18">
        <f t="shared" si="15"/>
        <v>9.5</v>
      </c>
      <c r="M47" s="18">
        <f t="shared" si="9"/>
        <v>9.75</v>
      </c>
      <c r="N47" s="18">
        <f t="shared" si="10"/>
        <v>9.625</v>
      </c>
      <c r="O47" s="18">
        <f>I47*Входы!$C$40</f>
        <v>20</v>
      </c>
      <c r="P47" s="18">
        <f>J47*Входы!$C$80</f>
        <v>10</v>
      </c>
      <c r="Q47" s="18">
        <f>N47*Входы!$C$55/12</f>
        <v>19.25</v>
      </c>
      <c r="R47" s="8">
        <f>N47*Входы!$C$75</f>
        <v>240625</v>
      </c>
      <c r="S47" s="8">
        <f>J47*Входы!$C$77</f>
        <v>40000</v>
      </c>
      <c r="T4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7" s="8">
        <f>Входы!$C$94*Входы!$C$153*Входы!$C$95</f>
        <v>48750</v>
      </c>
      <c r="V47" s="8">
        <f>Входы!$C$154</f>
        <v>10000</v>
      </c>
      <c r="W47" s="8">
        <f>0</f>
        <v>0</v>
      </c>
      <c r="X47" s="8">
        <f>I47*Входы!$C$40*Входы!$C$81</f>
        <v>50000</v>
      </c>
      <c r="Y47" s="8">
        <f>J47*(Входы!$C$80*Входы!$C$81+Входы!$C$82)</f>
        <v>32500</v>
      </c>
      <c r="Z47" s="8">
        <f>J47*Входы!$C$96*Входы!$C$75*12</f>
        <v>15000</v>
      </c>
      <c r="AA47" s="8">
        <f>N47*Входы!$C$83</f>
        <v>48125</v>
      </c>
      <c r="AB47" s="8">
        <f t="shared" si="11"/>
        <v>492745.85</v>
      </c>
      <c r="AC47" s="8">
        <f t="shared" si="12"/>
        <v>-212120.84999999998</v>
      </c>
      <c r="AD47" s="8">
        <f t="shared" si="16"/>
        <v>-9841413.4699999914</v>
      </c>
      <c r="AE47" s="18">
        <f>ROUNDUP((T47+U47+V47+W47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7" s="24" t="str">
        <f t="shared" si="13"/>
        <v>Нет</v>
      </c>
      <c r="AG47" s="8">
        <f t="shared" si="14"/>
        <v>-252120.84999999998</v>
      </c>
    </row>
    <row r="48" spans="1:33" ht="38.25" x14ac:dyDescent="0.25">
      <c r="A48" s="2" t="s">
        <v>655</v>
      </c>
      <c r="B48" s="12">
        <v>44</v>
      </c>
      <c r="C48" s="2" t="s">
        <v>741</v>
      </c>
      <c r="D48" s="2" t="s">
        <v>740</v>
      </c>
      <c r="E48" s="18">
        <f>Входы!$C$36</f>
        <v>80</v>
      </c>
      <c r="F48" s="18">
        <f>E48*Входы!$C$37/Входы!$C$36</f>
        <v>24</v>
      </c>
      <c r="G48" s="18">
        <f>F48*Входы!$C$38/Входы!$C$37</f>
        <v>12</v>
      </c>
      <c r="H48" s="18">
        <f>Входы!$C$28/12/Входы!$C$40</f>
        <v>1</v>
      </c>
      <c r="I48" s="18">
        <f>MIN(G48,H48,(Входы!$C$31/12/Входы!$C$80)/Входы!$C$41,MAX(0,Входы!$C$34/Входы!$C$55-L48+K48)/Входы!$C$41,MAX(0,Входы!$C$22-L48)/Входы!$C$41,MAX(0,Входы!$C$58-SUM(J45:J47))/Входы!$C$41,Входы!$C$39/Входы!$C$41)</f>
        <v>1</v>
      </c>
      <c r="J48" s="18">
        <f>I48*Входы!$C$41</f>
        <v>0.5</v>
      </c>
      <c r="K48" s="18">
        <f t="shared" si="8"/>
        <v>0.25</v>
      </c>
      <c r="L48" s="18">
        <f t="shared" si="15"/>
        <v>9.75</v>
      </c>
      <c r="M48" s="18">
        <f t="shared" si="9"/>
        <v>10</v>
      </c>
      <c r="N48" s="18">
        <f t="shared" si="10"/>
        <v>9.875</v>
      </c>
      <c r="O48" s="18">
        <f>I48*Входы!$C$40</f>
        <v>20</v>
      </c>
      <c r="P48" s="18">
        <f>J48*Входы!$C$80</f>
        <v>10</v>
      </c>
      <c r="Q48" s="18">
        <f>N48*Входы!$C$55/12</f>
        <v>19.75</v>
      </c>
      <c r="R48" s="8">
        <f>N48*Входы!$C$75</f>
        <v>246875</v>
      </c>
      <c r="S48" s="8">
        <f>J48*Входы!$C$77</f>
        <v>40000</v>
      </c>
      <c r="T4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8" s="8">
        <f>Входы!$C$94*Входы!$C$153*Входы!$C$95</f>
        <v>48750</v>
      </c>
      <c r="V48" s="8">
        <f>Входы!$C$154</f>
        <v>10000</v>
      </c>
      <c r="W48" s="8">
        <f>0</f>
        <v>0</v>
      </c>
      <c r="X48" s="8">
        <f>I48*Входы!$C$40*Входы!$C$81</f>
        <v>50000</v>
      </c>
      <c r="Y48" s="8">
        <f>J48*(Входы!$C$80*Входы!$C$81+Входы!$C$82)</f>
        <v>32500</v>
      </c>
      <c r="Z48" s="8">
        <f>J48*Входы!$C$96*Входы!$C$75*12</f>
        <v>15000</v>
      </c>
      <c r="AA48" s="8">
        <f>N48*Входы!$C$83</f>
        <v>49375</v>
      </c>
      <c r="AB48" s="8">
        <f t="shared" si="11"/>
        <v>493995.85</v>
      </c>
      <c r="AC48" s="8">
        <f t="shared" si="12"/>
        <v>-207120.84999999998</v>
      </c>
      <c r="AD48" s="8">
        <f t="shared" si="16"/>
        <v>-10048534.319999991</v>
      </c>
      <c r="AE48" s="18">
        <f>ROUNDUP((T48+U48+V48+W48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8" s="24" t="str">
        <f t="shared" si="13"/>
        <v>Нет</v>
      </c>
      <c r="AG48" s="8">
        <f t="shared" si="14"/>
        <v>-247120.84999999998</v>
      </c>
    </row>
    <row r="49" spans="1:33" ht="38.25" x14ac:dyDescent="0.25">
      <c r="A49" s="2" t="s">
        <v>655</v>
      </c>
      <c r="B49" s="12">
        <v>45</v>
      </c>
      <c r="C49" s="2" t="s">
        <v>741</v>
      </c>
      <c r="D49" s="2" t="s">
        <v>740</v>
      </c>
      <c r="E49" s="18">
        <f>Входы!$C$36</f>
        <v>80</v>
      </c>
      <c r="F49" s="18">
        <f>E49*Входы!$C$37/Входы!$C$36</f>
        <v>24</v>
      </c>
      <c r="G49" s="18">
        <f>F49*Входы!$C$38/Входы!$C$37</f>
        <v>12</v>
      </c>
      <c r="H49" s="18">
        <f>Входы!$C$28/12/Входы!$C$40</f>
        <v>1</v>
      </c>
      <c r="I49" s="18">
        <f>MIN(G49,H49,(Входы!$C$31/12/Входы!$C$80)/Входы!$C$41,MAX(0,Входы!$C$34/Входы!$C$55-L49+K49)/Входы!$C$41,MAX(0,Входы!$C$22-L49)/Входы!$C$41,MAX(0,Входы!$C$58-SUM(J45:J48))/Входы!$C$41,Входы!$C$39/Входы!$C$41)</f>
        <v>1</v>
      </c>
      <c r="J49" s="18">
        <f>I49*Входы!$C$41</f>
        <v>0.5</v>
      </c>
      <c r="K49" s="18">
        <f t="shared" si="8"/>
        <v>0.25</v>
      </c>
      <c r="L49" s="18">
        <f t="shared" si="15"/>
        <v>10</v>
      </c>
      <c r="M49" s="18">
        <f t="shared" si="9"/>
        <v>10.25</v>
      </c>
      <c r="N49" s="18">
        <f t="shared" si="10"/>
        <v>10.125</v>
      </c>
      <c r="O49" s="18">
        <f>I49*Входы!$C$40</f>
        <v>20</v>
      </c>
      <c r="P49" s="18">
        <f>J49*Входы!$C$80</f>
        <v>10</v>
      </c>
      <c r="Q49" s="18">
        <f>N49*Входы!$C$55/12</f>
        <v>20.25</v>
      </c>
      <c r="R49" s="8">
        <f>N49*Входы!$C$75</f>
        <v>253125</v>
      </c>
      <c r="S49" s="8">
        <f>J49*Входы!$C$77</f>
        <v>40000</v>
      </c>
      <c r="T4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49" s="8">
        <f>Входы!$C$94*Входы!$C$153*Входы!$C$95</f>
        <v>48750</v>
      </c>
      <c r="V49" s="8">
        <f>Входы!$C$154</f>
        <v>10000</v>
      </c>
      <c r="W49" s="8">
        <f>0</f>
        <v>0</v>
      </c>
      <c r="X49" s="8">
        <f>I49*Входы!$C$40*Входы!$C$81</f>
        <v>50000</v>
      </c>
      <c r="Y49" s="8">
        <f>J49*(Входы!$C$80*Входы!$C$81+Входы!$C$82)</f>
        <v>32500</v>
      </c>
      <c r="Z49" s="8">
        <f>J49*Входы!$C$96*Входы!$C$75*12</f>
        <v>15000</v>
      </c>
      <c r="AA49" s="8">
        <f>N49*Входы!$C$83</f>
        <v>50625</v>
      </c>
      <c r="AB49" s="8">
        <f t="shared" si="11"/>
        <v>495245.85</v>
      </c>
      <c r="AC49" s="8">
        <f t="shared" si="12"/>
        <v>-202120.84999999998</v>
      </c>
      <c r="AD49" s="8">
        <f t="shared" si="16"/>
        <v>-10250655.169999991</v>
      </c>
      <c r="AE49" s="18">
        <f>ROUNDUP((T49+U49+V49+W49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49" s="24" t="str">
        <f t="shared" si="13"/>
        <v>Нет</v>
      </c>
      <c r="AG49" s="8">
        <f t="shared" si="14"/>
        <v>-242120.84999999998</v>
      </c>
    </row>
    <row r="50" spans="1:33" ht="38.25" x14ac:dyDescent="0.25">
      <c r="A50" s="2" t="s">
        <v>655</v>
      </c>
      <c r="B50" s="12">
        <v>46</v>
      </c>
      <c r="C50" s="2" t="s">
        <v>741</v>
      </c>
      <c r="D50" s="2" t="s">
        <v>740</v>
      </c>
      <c r="E50" s="18">
        <f>Входы!$C$36</f>
        <v>80</v>
      </c>
      <c r="F50" s="18">
        <f>E50*Входы!$C$37/Входы!$C$36</f>
        <v>24</v>
      </c>
      <c r="G50" s="18">
        <f>F50*Входы!$C$38/Входы!$C$37</f>
        <v>12</v>
      </c>
      <c r="H50" s="18">
        <f>Входы!$C$28/12/Входы!$C$40</f>
        <v>1</v>
      </c>
      <c r="I50" s="18">
        <f>MIN(G50,H50,(Входы!$C$31/12/Входы!$C$80)/Входы!$C$41,MAX(0,Входы!$C$34/Входы!$C$55-L50+K50)/Входы!$C$41,MAX(0,Входы!$C$22-L50)/Входы!$C$41,MAX(0,Входы!$C$58-SUM(J45:J49))/Входы!$C$41,Входы!$C$39/Входы!$C$41)</f>
        <v>1</v>
      </c>
      <c r="J50" s="18">
        <f>I50*Входы!$C$41</f>
        <v>0.5</v>
      </c>
      <c r="K50" s="18">
        <f t="shared" si="8"/>
        <v>0.25</v>
      </c>
      <c r="L50" s="18">
        <f t="shared" si="15"/>
        <v>10.25</v>
      </c>
      <c r="M50" s="18">
        <f t="shared" si="9"/>
        <v>10.5</v>
      </c>
      <c r="N50" s="18">
        <f t="shared" si="10"/>
        <v>10.375</v>
      </c>
      <c r="O50" s="18">
        <f>I50*Входы!$C$40</f>
        <v>20</v>
      </c>
      <c r="P50" s="18">
        <f>J50*Входы!$C$80</f>
        <v>10</v>
      </c>
      <c r="Q50" s="18">
        <f>N50*Входы!$C$55/12</f>
        <v>20.75</v>
      </c>
      <c r="R50" s="8">
        <f>N50*Входы!$C$75</f>
        <v>259375</v>
      </c>
      <c r="S50" s="8">
        <f>J50*Входы!$C$77</f>
        <v>40000</v>
      </c>
      <c r="T5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0" s="8">
        <f>Входы!$C$94*Входы!$C$153*Входы!$C$95</f>
        <v>48750</v>
      </c>
      <c r="V50" s="8">
        <f>Входы!$C$154</f>
        <v>10000</v>
      </c>
      <c r="W50" s="8">
        <f>0</f>
        <v>0</v>
      </c>
      <c r="X50" s="8">
        <f>I50*Входы!$C$40*Входы!$C$81</f>
        <v>50000</v>
      </c>
      <c r="Y50" s="8">
        <f>J50*(Входы!$C$80*Входы!$C$81+Входы!$C$82)</f>
        <v>32500</v>
      </c>
      <c r="Z50" s="8">
        <f>J50*Входы!$C$96*Входы!$C$75*12</f>
        <v>15000</v>
      </c>
      <c r="AA50" s="8">
        <f>N50*Входы!$C$83</f>
        <v>51875</v>
      </c>
      <c r="AB50" s="8">
        <f t="shared" si="11"/>
        <v>496495.85</v>
      </c>
      <c r="AC50" s="8">
        <f t="shared" si="12"/>
        <v>-197120.84999999998</v>
      </c>
      <c r="AD50" s="8">
        <f t="shared" si="16"/>
        <v>-10447776.01999999</v>
      </c>
      <c r="AE50" s="18">
        <f>ROUNDUP((T50+U50+V50+W50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0" s="24" t="str">
        <f t="shared" si="13"/>
        <v>Нет</v>
      </c>
      <c r="AG50" s="8">
        <f t="shared" si="14"/>
        <v>-237120.84999999998</v>
      </c>
    </row>
    <row r="51" spans="1:33" ht="38.25" x14ac:dyDescent="0.25">
      <c r="A51" s="2" t="s">
        <v>655</v>
      </c>
      <c r="B51" s="12">
        <v>47</v>
      </c>
      <c r="C51" s="2" t="s">
        <v>741</v>
      </c>
      <c r="D51" s="2" t="s">
        <v>740</v>
      </c>
      <c r="E51" s="18">
        <f>Входы!$C$36</f>
        <v>80</v>
      </c>
      <c r="F51" s="18">
        <f>E51*Входы!$C$37/Входы!$C$36</f>
        <v>24</v>
      </c>
      <c r="G51" s="18">
        <f>F51*Входы!$C$38/Входы!$C$37</f>
        <v>12</v>
      </c>
      <c r="H51" s="18">
        <f>Входы!$C$28/12/Входы!$C$40</f>
        <v>1</v>
      </c>
      <c r="I51" s="18">
        <f>MIN(G51,H51,(Входы!$C$31/12/Входы!$C$80)/Входы!$C$41,MAX(0,Входы!$C$34/Входы!$C$55-L51+K51)/Входы!$C$41,MAX(0,Входы!$C$22-L51)/Входы!$C$41,MAX(0,Входы!$C$58-SUM(J45:J50))/Входы!$C$41,Входы!$C$39/Входы!$C$41)</f>
        <v>1</v>
      </c>
      <c r="J51" s="18">
        <f>I51*Входы!$C$41</f>
        <v>0.5</v>
      </c>
      <c r="K51" s="18">
        <f t="shared" si="8"/>
        <v>0.25</v>
      </c>
      <c r="L51" s="18">
        <f t="shared" si="15"/>
        <v>10.5</v>
      </c>
      <c r="M51" s="18">
        <f t="shared" si="9"/>
        <v>10.75</v>
      </c>
      <c r="N51" s="18">
        <f t="shared" si="10"/>
        <v>10.625</v>
      </c>
      <c r="O51" s="18">
        <f>I51*Входы!$C$40</f>
        <v>20</v>
      </c>
      <c r="P51" s="18">
        <f>J51*Входы!$C$80</f>
        <v>10</v>
      </c>
      <c r="Q51" s="18">
        <f>N51*Входы!$C$55/12</f>
        <v>21.25</v>
      </c>
      <c r="R51" s="8">
        <f>N51*Входы!$C$75</f>
        <v>265625</v>
      </c>
      <c r="S51" s="8">
        <f>J51*Входы!$C$77</f>
        <v>40000</v>
      </c>
      <c r="T5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1" s="8">
        <f>Входы!$C$94*Входы!$C$153*Входы!$C$95</f>
        <v>48750</v>
      </c>
      <c r="V51" s="8">
        <f>Входы!$C$154</f>
        <v>10000</v>
      </c>
      <c r="W51" s="8">
        <f>0</f>
        <v>0</v>
      </c>
      <c r="X51" s="8">
        <f>I51*Входы!$C$40*Входы!$C$81</f>
        <v>50000</v>
      </c>
      <c r="Y51" s="8">
        <f>J51*(Входы!$C$80*Входы!$C$81+Входы!$C$82)</f>
        <v>32500</v>
      </c>
      <c r="Z51" s="8">
        <f>J51*Входы!$C$96*Входы!$C$75*12</f>
        <v>15000</v>
      </c>
      <c r="AA51" s="8">
        <f>N51*Входы!$C$83</f>
        <v>53125</v>
      </c>
      <c r="AB51" s="8">
        <f t="shared" si="11"/>
        <v>497745.85</v>
      </c>
      <c r="AC51" s="8">
        <f t="shared" si="12"/>
        <v>-192120.84999999998</v>
      </c>
      <c r="AD51" s="8">
        <f t="shared" si="16"/>
        <v>-10639896.86999999</v>
      </c>
      <c r="AE51" s="18">
        <f>ROUNDUP((T51+U51+V51+W51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1" s="24" t="str">
        <f t="shared" si="13"/>
        <v>Нет</v>
      </c>
      <c r="AG51" s="8">
        <f t="shared" si="14"/>
        <v>-232120.84999999998</v>
      </c>
    </row>
    <row r="52" spans="1:33" ht="38.25" x14ac:dyDescent="0.25">
      <c r="A52" s="2" t="s">
        <v>655</v>
      </c>
      <c r="B52" s="12">
        <v>48</v>
      </c>
      <c r="C52" s="2" t="s">
        <v>741</v>
      </c>
      <c r="D52" s="2" t="s">
        <v>740</v>
      </c>
      <c r="E52" s="18">
        <f>Входы!$C$36</f>
        <v>80</v>
      </c>
      <c r="F52" s="18">
        <f>E52*Входы!$C$37/Входы!$C$36</f>
        <v>24</v>
      </c>
      <c r="G52" s="18">
        <f>F52*Входы!$C$38/Входы!$C$37</f>
        <v>12</v>
      </c>
      <c r="H52" s="18">
        <f>Входы!$C$28/12/Входы!$C$40</f>
        <v>1</v>
      </c>
      <c r="I52" s="18">
        <f>MIN(G52,H52,(Входы!$C$31/12/Входы!$C$80)/Входы!$C$41,MAX(0,Входы!$C$34/Входы!$C$55-L52+K52)/Входы!$C$41,MAX(0,Входы!$C$22-L52)/Входы!$C$41,MAX(0,Входы!$C$58-SUM(J45:J51))/Входы!$C$41,Входы!$C$39/Входы!$C$41)</f>
        <v>1</v>
      </c>
      <c r="J52" s="18">
        <f>I52*Входы!$C$41</f>
        <v>0.5</v>
      </c>
      <c r="K52" s="18">
        <f t="shared" si="8"/>
        <v>0.25</v>
      </c>
      <c r="L52" s="18">
        <f t="shared" si="15"/>
        <v>10.75</v>
      </c>
      <c r="M52" s="18">
        <f t="shared" si="9"/>
        <v>11</v>
      </c>
      <c r="N52" s="18">
        <f t="shared" si="10"/>
        <v>10.875</v>
      </c>
      <c r="O52" s="18">
        <f>I52*Входы!$C$40</f>
        <v>20</v>
      </c>
      <c r="P52" s="18">
        <f>J52*Входы!$C$80</f>
        <v>10</v>
      </c>
      <c r="Q52" s="18">
        <f>N52*Входы!$C$55/12</f>
        <v>21.75</v>
      </c>
      <c r="R52" s="8">
        <f>N52*Входы!$C$75</f>
        <v>271875</v>
      </c>
      <c r="S52" s="8">
        <f>J52*Входы!$C$77</f>
        <v>40000</v>
      </c>
      <c r="T5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2" s="8">
        <f>Входы!$C$94*Входы!$C$153*Входы!$C$95</f>
        <v>48750</v>
      </c>
      <c r="V52" s="8">
        <f>Входы!$C$154</f>
        <v>10000</v>
      </c>
      <c r="W52" s="8">
        <f>0</f>
        <v>0</v>
      </c>
      <c r="X52" s="8">
        <f>I52*Входы!$C$40*Входы!$C$81</f>
        <v>50000</v>
      </c>
      <c r="Y52" s="8">
        <f>J52*(Входы!$C$80*Входы!$C$81+Входы!$C$82)</f>
        <v>32500</v>
      </c>
      <c r="Z52" s="8">
        <f>J52*Входы!$C$96*Входы!$C$75*12</f>
        <v>15000</v>
      </c>
      <c r="AA52" s="8">
        <f>N52*Входы!$C$83</f>
        <v>54375</v>
      </c>
      <c r="AB52" s="8">
        <f t="shared" si="11"/>
        <v>498995.85</v>
      </c>
      <c r="AC52" s="8">
        <f t="shared" si="12"/>
        <v>-187120.84999999998</v>
      </c>
      <c r="AD52" s="8">
        <f t="shared" si="16"/>
        <v>-10827017.719999989</v>
      </c>
      <c r="AE52" s="18">
        <f>ROUNDUP((T52+U52+V52+W52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2" s="24" t="str">
        <f t="shared" si="13"/>
        <v>Нет</v>
      </c>
      <c r="AG52" s="8">
        <f t="shared" si="14"/>
        <v>-227120.84999999998</v>
      </c>
    </row>
    <row r="53" spans="1:33" ht="38.25" x14ac:dyDescent="0.25">
      <c r="A53" s="2" t="s">
        <v>655</v>
      </c>
      <c r="B53" s="12">
        <v>49</v>
      </c>
      <c r="C53" s="2" t="s">
        <v>741</v>
      </c>
      <c r="D53" s="2" t="s">
        <v>740</v>
      </c>
      <c r="E53" s="18">
        <f>Входы!$C$36</f>
        <v>80</v>
      </c>
      <c r="F53" s="18">
        <f>E53*Входы!$C$37/Входы!$C$36</f>
        <v>24</v>
      </c>
      <c r="G53" s="18">
        <f>F53*Входы!$C$38/Входы!$C$37</f>
        <v>12</v>
      </c>
      <c r="H53" s="18">
        <f>Входы!$C$28/12/Входы!$C$40</f>
        <v>1</v>
      </c>
      <c r="I53" s="18">
        <f>MIN(G53,H53,(Входы!$C$31/12/Входы!$C$80)/Входы!$C$41,MAX(0,Входы!$C$34/Входы!$C$55-L53+K53)/Входы!$C$41,MAX(0,Входы!$C$22-L53)/Входы!$C$41,MAX(0,Входы!$C$58-SUM(J45:J52))/Входы!$C$41,Входы!$C$39/Входы!$C$41)</f>
        <v>1</v>
      </c>
      <c r="J53" s="18">
        <f>I53*Входы!$C$41</f>
        <v>0.5</v>
      </c>
      <c r="K53" s="18">
        <f t="shared" si="8"/>
        <v>0.25</v>
      </c>
      <c r="L53" s="18">
        <f t="shared" si="15"/>
        <v>11</v>
      </c>
      <c r="M53" s="18">
        <f t="shared" si="9"/>
        <v>11.25</v>
      </c>
      <c r="N53" s="18">
        <f t="shared" si="10"/>
        <v>11.125</v>
      </c>
      <c r="O53" s="18">
        <f>I53*Входы!$C$40</f>
        <v>20</v>
      </c>
      <c r="P53" s="18">
        <f>J53*Входы!$C$80</f>
        <v>10</v>
      </c>
      <c r="Q53" s="18">
        <f>N53*Входы!$C$55/12</f>
        <v>22.25</v>
      </c>
      <c r="R53" s="8">
        <f>N53*Входы!$C$75</f>
        <v>278125</v>
      </c>
      <c r="S53" s="8">
        <f>J53*Входы!$C$77</f>
        <v>40000</v>
      </c>
      <c r="T5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3" s="8">
        <f>Входы!$C$94*Входы!$C$153*Входы!$C$95</f>
        <v>48750</v>
      </c>
      <c r="V53" s="8">
        <f>Входы!$C$154</f>
        <v>10000</v>
      </c>
      <c r="W53" s="8">
        <f>0</f>
        <v>0</v>
      </c>
      <c r="X53" s="8">
        <f>I53*Входы!$C$40*Входы!$C$81</f>
        <v>50000</v>
      </c>
      <c r="Y53" s="8">
        <f>J53*(Входы!$C$80*Входы!$C$81+Входы!$C$82)</f>
        <v>32500</v>
      </c>
      <c r="Z53" s="8">
        <f>J53*Входы!$C$96*Входы!$C$75*12</f>
        <v>15000</v>
      </c>
      <c r="AA53" s="8">
        <f>N53*Входы!$C$83</f>
        <v>55625</v>
      </c>
      <c r="AB53" s="8">
        <f t="shared" si="11"/>
        <v>500245.85</v>
      </c>
      <c r="AC53" s="8">
        <f t="shared" si="12"/>
        <v>-182120.84999999998</v>
      </c>
      <c r="AD53" s="8">
        <f t="shared" si="16"/>
        <v>-11009138.569999989</v>
      </c>
      <c r="AE53" s="18">
        <f>ROUNDUP((T53+U53+V53+W53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3" s="24" t="str">
        <f t="shared" si="13"/>
        <v>Нет</v>
      </c>
      <c r="AG53" s="8">
        <f t="shared" si="14"/>
        <v>-222120.84999999998</v>
      </c>
    </row>
    <row r="54" spans="1:33" ht="38.25" x14ac:dyDescent="0.25">
      <c r="A54" s="2" t="s">
        <v>655</v>
      </c>
      <c r="B54" s="12">
        <v>50</v>
      </c>
      <c r="C54" s="2" t="s">
        <v>741</v>
      </c>
      <c r="D54" s="2" t="s">
        <v>740</v>
      </c>
      <c r="E54" s="18">
        <f>Входы!$C$36</f>
        <v>80</v>
      </c>
      <c r="F54" s="18">
        <f>E54*Входы!$C$37/Входы!$C$36</f>
        <v>24</v>
      </c>
      <c r="G54" s="18">
        <f>F54*Входы!$C$38/Входы!$C$37</f>
        <v>12</v>
      </c>
      <c r="H54" s="18">
        <f>Входы!$C$28/12/Входы!$C$40</f>
        <v>1</v>
      </c>
      <c r="I54" s="18">
        <f>MIN(G54,H54,(Входы!$C$31/12/Входы!$C$80)/Входы!$C$41,MAX(0,Входы!$C$34/Входы!$C$55-L54+K54)/Входы!$C$41,MAX(0,Входы!$C$22-L54)/Входы!$C$41,MAX(0,Входы!$C$58-SUM(J45:J53))/Входы!$C$41,Входы!$C$39/Входы!$C$41)</f>
        <v>1</v>
      </c>
      <c r="J54" s="18">
        <f>I54*Входы!$C$41</f>
        <v>0.5</v>
      </c>
      <c r="K54" s="18">
        <f t="shared" si="8"/>
        <v>0.25</v>
      </c>
      <c r="L54" s="18">
        <f t="shared" si="15"/>
        <v>11.25</v>
      </c>
      <c r="M54" s="18">
        <f t="shared" si="9"/>
        <v>11.5</v>
      </c>
      <c r="N54" s="18">
        <f t="shared" si="10"/>
        <v>11.375</v>
      </c>
      <c r="O54" s="18">
        <f>I54*Входы!$C$40</f>
        <v>20</v>
      </c>
      <c r="P54" s="18">
        <f>J54*Входы!$C$80</f>
        <v>10</v>
      </c>
      <c r="Q54" s="18">
        <f>N54*Входы!$C$55/12</f>
        <v>22.75</v>
      </c>
      <c r="R54" s="8">
        <f>N54*Входы!$C$75</f>
        <v>284375</v>
      </c>
      <c r="S54" s="8">
        <f>J54*Входы!$C$77</f>
        <v>40000</v>
      </c>
      <c r="T5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4" s="8">
        <f>Входы!$C$94*Входы!$C$153*Входы!$C$95</f>
        <v>48750</v>
      </c>
      <c r="V54" s="8">
        <f>Входы!$C$154</f>
        <v>10000</v>
      </c>
      <c r="W54" s="8">
        <f>0</f>
        <v>0</v>
      </c>
      <c r="X54" s="8">
        <f>I54*Входы!$C$40*Входы!$C$81</f>
        <v>50000</v>
      </c>
      <c r="Y54" s="8">
        <f>J54*(Входы!$C$80*Входы!$C$81+Входы!$C$82)</f>
        <v>32500</v>
      </c>
      <c r="Z54" s="8">
        <f>J54*Входы!$C$96*Входы!$C$75*12</f>
        <v>15000</v>
      </c>
      <c r="AA54" s="8">
        <f>N54*Входы!$C$83</f>
        <v>56875</v>
      </c>
      <c r="AB54" s="8">
        <f t="shared" si="11"/>
        <v>501495.85</v>
      </c>
      <c r="AC54" s="8">
        <f t="shared" si="12"/>
        <v>-177120.84999999998</v>
      </c>
      <c r="AD54" s="8">
        <f t="shared" si="16"/>
        <v>-11186259.419999989</v>
      </c>
      <c r="AE54" s="18">
        <f>ROUNDUP((T54+U54+V54+W54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4" s="24" t="str">
        <f t="shared" si="13"/>
        <v>Нет</v>
      </c>
      <c r="AG54" s="8">
        <f t="shared" si="14"/>
        <v>-217120.84999999998</v>
      </c>
    </row>
    <row r="55" spans="1:33" ht="38.25" x14ac:dyDescent="0.25">
      <c r="A55" s="2" t="s">
        <v>655</v>
      </c>
      <c r="B55" s="12">
        <v>51</v>
      </c>
      <c r="C55" s="2" t="s">
        <v>741</v>
      </c>
      <c r="D55" s="2" t="s">
        <v>740</v>
      </c>
      <c r="E55" s="18">
        <f>Входы!$C$36</f>
        <v>80</v>
      </c>
      <c r="F55" s="18">
        <f>E55*Входы!$C$37/Входы!$C$36</f>
        <v>24</v>
      </c>
      <c r="G55" s="18">
        <f>F55*Входы!$C$38/Входы!$C$37</f>
        <v>12</v>
      </c>
      <c r="H55" s="18">
        <f>Входы!$C$28/12/Входы!$C$40</f>
        <v>1</v>
      </c>
      <c r="I55" s="18">
        <f>MIN(G55,H55,(Входы!$C$31/12/Входы!$C$80)/Входы!$C$41,MAX(0,Входы!$C$34/Входы!$C$55-L55+K55)/Входы!$C$41,MAX(0,Входы!$C$22-L55)/Входы!$C$41,MAX(0,Входы!$C$58-SUM(J45:J54))/Входы!$C$41,Входы!$C$39/Входы!$C$41)</f>
        <v>1</v>
      </c>
      <c r="J55" s="18">
        <f>I55*Входы!$C$41</f>
        <v>0.5</v>
      </c>
      <c r="K55" s="18">
        <f t="shared" si="8"/>
        <v>0.25</v>
      </c>
      <c r="L55" s="18">
        <f t="shared" si="15"/>
        <v>11.5</v>
      </c>
      <c r="M55" s="18">
        <f t="shared" si="9"/>
        <v>11.75</v>
      </c>
      <c r="N55" s="18">
        <f t="shared" si="10"/>
        <v>11.625</v>
      </c>
      <c r="O55" s="18">
        <f>I55*Входы!$C$40</f>
        <v>20</v>
      </c>
      <c r="P55" s="18">
        <f>J55*Входы!$C$80</f>
        <v>10</v>
      </c>
      <c r="Q55" s="18">
        <f>N55*Входы!$C$55/12</f>
        <v>23.25</v>
      </c>
      <c r="R55" s="8">
        <f>N55*Входы!$C$75</f>
        <v>290625</v>
      </c>
      <c r="S55" s="8">
        <f>J55*Входы!$C$77</f>
        <v>40000</v>
      </c>
      <c r="T5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5" s="8">
        <f>Входы!$C$94*Входы!$C$153*Входы!$C$95</f>
        <v>48750</v>
      </c>
      <c r="V55" s="8">
        <f>Входы!$C$154</f>
        <v>10000</v>
      </c>
      <c r="W55" s="8">
        <f>0</f>
        <v>0</v>
      </c>
      <c r="X55" s="8">
        <f>I55*Входы!$C$40*Входы!$C$81</f>
        <v>50000</v>
      </c>
      <c r="Y55" s="8">
        <f>J55*(Входы!$C$80*Входы!$C$81+Входы!$C$82)</f>
        <v>32500</v>
      </c>
      <c r="Z55" s="8">
        <f>J55*Входы!$C$96*Входы!$C$75*12</f>
        <v>15000</v>
      </c>
      <c r="AA55" s="8">
        <f>N55*Входы!$C$83</f>
        <v>58125</v>
      </c>
      <c r="AB55" s="8">
        <f t="shared" si="11"/>
        <v>502745.85</v>
      </c>
      <c r="AC55" s="8">
        <f t="shared" si="12"/>
        <v>-172120.84999999998</v>
      </c>
      <c r="AD55" s="8">
        <f t="shared" si="16"/>
        <v>-11358380.269999988</v>
      </c>
      <c r="AE55" s="18">
        <f>ROUNDUP((T55+U55+V55+W55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5" s="24" t="str">
        <f t="shared" si="13"/>
        <v>Нет</v>
      </c>
      <c r="AG55" s="8">
        <f t="shared" si="14"/>
        <v>-212120.84999999998</v>
      </c>
    </row>
    <row r="56" spans="1:33" ht="38.25" x14ac:dyDescent="0.25">
      <c r="A56" s="2" t="s">
        <v>655</v>
      </c>
      <c r="B56" s="12">
        <v>52</v>
      </c>
      <c r="C56" s="2" t="s">
        <v>741</v>
      </c>
      <c r="D56" s="2" t="s">
        <v>740</v>
      </c>
      <c r="E56" s="18">
        <f>Входы!$C$36</f>
        <v>80</v>
      </c>
      <c r="F56" s="18">
        <f>E56*Входы!$C$37/Входы!$C$36</f>
        <v>24</v>
      </c>
      <c r="G56" s="18">
        <f>F56*Входы!$C$38/Входы!$C$37</f>
        <v>12</v>
      </c>
      <c r="H56" s="18">
        <f>Входы!$C$28/12/Входы!$C$40</f>
        <v>1</v>
      </c>
      <c r="I56" s="18">
        <f>MIN(G56,H56,(Входы!$C$31/12/Входы!$C$80)/Входы!$C$41,MAX(0,Входы!$C$34/Входы!$C$55-L56+K56)/Входы!$C$41,MAX(0,Входы!$C$22-L56)/Входы!$C$41,MAX(0,Входы!$C$58-SUM(J45:J55))/Входы!$C$41,Входы!$C$39/Входы!$C$41)</f>
        <v>1</v>
      </c>
      <c r="J56" s="18">
        <f>I56*Входы!$C$41</f>
        <v>0.5</v>
      </c>
      <c r="K56" s="18">
        <f t="shared" si="8"/>
        <v>0.25</v>
      </c>
      <c r="L56" s="18">
        <f t="shared" si="15"/>
        <v>11.75</v>
      </c>
      <c r="M56" s="18">
        <f t="shared" si="9"/>
        <v>12</v>
      </c>
      <c r="N56" s="18">
        <f t="shared" si="10"/>
        <v>11.875</v>
      </c>
      <c r="O56" s="18">
        <f>I56*Входы!$C$40</f>
        <v>20</v>
      </c>
      <c r="P56" s="18">
        <f>J56*Входы!$C$80</f>
        <v>10</v>
      </c>
      <c r="Q56" s="18">
        <f>N56*Входы!$C$55/12</f>
        <v>23.75</v>
      </c>
      <c r="R56" s="8">
        <f>N56*Входы!$C$75</f>
        <v>296875</v>
      </c>
      <c r="S56" s="8">
        <f>J56*Входы!$C$77</f>
        <v>40000</v>
      </c>
      <c r="T5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6" s="8">
        <f>Входы!$C$94*Входы!$C$153*Входы!$C$95</f>
        <v>48750</v>
      </c>
      <c r="V56" s="8">
        <f>Входы!$C$154</f>
        <v>10000</v>
      </c>
      <c r="W56" s="8">
        <f>0</f>
        <v>0</v>
      </c>
      <c r="X56" s="8">
        <f>I56*Входы!$C$40*Входы!$C$81</f>
        <v>50000</v>
      </c>
      <c r="Y56" s="8">
        <f>J56*(Входы!$C$80*Входы!$C$81+Входы!$C$82)</f>
        <v>32500</v>
      </c>
      <c r="Z56" s="8">
        <f>J56*Входы!$C$96*Входы!$C$75*12</f>
        <v>15000</v>
      </c>
      <c r="AA56" s="8">
        <f>N56*Входы!$C$83</f>
        <v>59375</v>
      </c>
      <c r="AB56" s="8">
        <f t="shared" si="11"/>
        <v>503995.85</v>
      </c>
      <c r="AC56" s="8">
        <f t="shared" si="12"/>
        <v>-167120.84999999998</v>
      </c>
      <c r="AD56" s="8">
        <f t="shared" si="16"/>
        <v>-11525501.119999988</v>
      </c>
      <c r="AE56" s="18">
        <f>ROUNDUP((T56+U56+V56+W56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6" s="24" t="str">
        <f t="shared" si="13"/>
        <v>Нет</v>
      </c>
      <c r="AG56" s="8">
        <f t="shared" si="14"/>
        <v>-207120.84999999998</v>
      </c>
    </row>
    <row r="57" spans="1:33" ht="25.5" x14ac:dyDescent="0.25">
      <c r="A57" s="2" t="s">
        <v>655</v>
      </c>
      <c r="B57" s="12">
        <v>53</v>
      </c>
      <c r="C57" s="2" t="s">
        <v>742</v>
      </c>
      <c r="D57" s="2" t="s">
        <v>743</v>
      </c>
      <c r="E57" s="18">
        <f>Входы!$C$36</f>
        <v>80</v>
      </c>
      <c r="F57" s="18">
        <f>E57*Входы!$C$37/Входы!$C$36</f>
        <v>24</v>
      </c>
      <c r="G57" s="18">
        <f>F57*Входы!$C$38/Входы!$C$37</f>
        <v>12</v>
      </c>
      <c r="H57" s="18">
        <f>Входы!$C$28/12/Входы!$C$40</f>
        <v>1</v>
      </c>
      <c r="I57" s="18">
        <f>MIN(G57,H57,(Входы!$C$31/12/Входы!$C$80)/Входы!$C$41,MAX(0,Входы!$C$34/Входы!$C$55-L57+K57)/Входы!$C$41,MAX(0,Входы!$C$22-L57)/Входы!$C$41,MAX(0,Входы!$C$58-0)/Входы!$C$41,Входы!$C$39/Входы!$C$41)</f>
        <v>1</v>
      </c>
      <c r="J57" s="18">
        <f>I57*Входы!$C$41</f>
        <v>0.5</v>
      </c>
      <c r="K57" s="18">
        <f t="shared" si="8"/>
        <v>0.5</v>
      </c>
      <c r="L57" s="18">
        <f t="shared" si="15"/>
        <v>12</v>
      </c>
      <c r="M57" s="18">
        <f t="shared" si="9"/>
        <v>12</v>
      </c>
      <c r="N57" s="18">
        <f t="shared" si="10"/>
        <v>12</v>
      </c>
      <c r="O57" s="18">
        <f>I57*Входы!$C$40</f>
        <v>20</v>
      </c>
      <c r="P57" s="18">
        <f>J57*Входы!$C$80</f>
        <v>10</v>
      </c>
      <c r="Q57" s="18">
        <f>N57*Входы!$C$55/12</f>
        <v>24</v>
      </c>
      <c r="R57" s="8">
        <f>N57*Входы!$C$75</f>
        <v>300000</v>
      </c>
      <c r="S57" s="8">
        <f>J57*Входы!$C$77</f>
        <v>40000</v>
      </c>
      <c r="T5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7" s="8">
        <f>Входы!$C$94*Входы!$C$153*Входы!$C$95</f>
        <v>48750</v>
      </c>
      <c r="V57" s="8">
        <f>Входы!$C$154</f>
        <v>10000</v>
      </c>
      <c r="W57" s="8">
        <f>0</f>
        <v>0</v>
      </c>
      <c r="X57" s="8">
        <f>I57*Входы!$C$40*Входы!$C$81</f>
        <v>50000</v>
      </c>
      <c r="Y57" s="8">
        <f>J57*(Входы!$C$80*Входы!$C$81+Входы!$C$82)</f>
        <v>32500</v>
      </c>
      <c r="Z57" s="8">
        <f>J57*Входы!$C$96*Входы!$C$75*12</f>
        <v>15000</v>
      </c>
      <c r="AA57" s="8">
        <f>N57*Входы!$C$83</f>
        <v>60000</v>
      </c>
      <c r="AB57" s="8">
        <f t="shared" si="11"/>
        <v>504620.85</v>
      </c>
      <c r="AC57" s="8">
        <f t="shared" si="12"/>
        <v>-164620.84999999998</v>
      </c>
      <c r="AD57" s="8">
        <f t="shared" si="16"/>
        <v>-11690121.969999988</v>
      </c>
      <c r="AE57" s="18">
        <f>ROUNDUP((T57+U57+V57+W57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7" s="24" t="str">
        <f t="shared" si="13"/>
        <v>Нет</v>
      </c>
      <c r="AG57" s="8">
        <f t="shared" si="14"/>
        <v>-204620.84999999998</v>
      </c>
    </row>
    <row r="58" spans="1:33" ht="25.5" x14ac:dyDescent="0.25">
      <c r="A58" s="2" t="s">
        <v>655</v>
      </c>
      <c r="B58" s="12">
        <v>54</v>
      </c>
      <c r="C58" s="2" t="s">
        <v>742</v>
      </c>
      <c r="D58" s="2" t="s">
        <v>743</v>
      </c>
      <c r="E58" s="18">
        <f>Входы!$C$36</f>
        <v>80</v>
      </c>
      <c r="F58" s="18">
        <f>E58*Входы!$C$37/Входы!$C$36</f>
        <v>24</v>
      </c>
      <c r="G58" s="18">
        <f>F58*Входы!$C$38/Входы!$C$37</f>
        <v>12</v>
      </c>
      <c r="H58" s="18">
        <f>Входы!$C$28/12/Входы!$C$40</f>
        <v>1</v>
      </c>
      <c r="I58" s="18">
        <f>MIN(G58,H58,(Входы!$C$31/12/Входы!$C$80)/Входы!$C$41,MAX(0,Входы!$C$34/Входы!$C$55-L58+K58)/Входы!$C$41,MAX(0,Входы!$C$22-L58)/Входы!$C$41,MAX(0,Входы!$C$58-SUM(J57:J57))/Входы!$C$41,Входы!$C$39/Входы!$C$41)</f>
        <v>1</v>
      </c>
      <c r="J58" s="18">
        <f>I58*Входы!$C$41</f>
        <v>0.5</v>
      </c>
      <c r="K58" s="18">
        <f t="shared" si="8"/>
        <v>0.5</v>
      </c>
      <c r="L58" s="18">
        <f t="shared" si="15"/>
        <v>12</v>
      </c>
      <c r="M58" s="18">
        <f t="shared" si="9"/>
        <v>12</v>
      </c>
      <c r="N58" s="18">
        <f t="shared" si="10"/>
        <v>12</v>
      </c>
      <c r="O58" s="18">
        <f>I58*Входы!$C$40</f>
        <v>20</v>
      </c>
      <c r="P58" s="18">
        <f>J58*Входы!$C$80</f>
        <v>10</v>
      </c>
      <c r="Q58" s="18">
        <f>N58*Входы!$C$55/12</f>
        <v>24</v>
      </c>
      <c r="R58" s="8">
        <f>N58*Входы!$C$75</f>
        <v>300000</v>
      </c>
      <c r="S58" s="8">
        <f>J58*Входы!$C$77</f>
        <v>40000</v>
      </c>
      <c r="T5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8" s="8">
        <f>Входы!$C$94*Входы!$C$153*Входы!$C$95</f>
        <v>48750</v>
      </c>
      <c r="V58" s="8">
        <f>Входы!$C$154</f>
        <v>10000</v>
      </c>
      <c r="W58" s="8">
        <f>0</f>
        <v>0</v>
      </c>
      <c r="X58" s="8">
        <f>I58*Входы!$C$40*Входы!$C$81</f>
        <v>50000</v>
      </c>
      <c r="Y58" s="8">
        <f>J58*(Входы!$C$80*Входы!$C$81+Входы!$C$82)</f>
        <v>32500</v>
      </c>
      <c r="Z58" s="8">
        <f>J58*Входы!$C$96*Входы!$C$75*12</f>
        <v>15000</v>
      </c>
      <c r="AA58" s="8">
        <f>N58*Входы!$C$83</f>
        <v>60000</v>
      </c>
      <c r="AB58" s="8">
        <f t="shared" si="11"/>
        <v>504620.85</v>
      </c>
      <c r="AC58" s="8">
        <f t="shared" si="12"/>
        <v>-164620.84999999998</v>
      </c>
      <c r="AD58" s="8">
        <f t="shared" si="16"/>
        <v>-11854742.819999987</v>
      </c>
      <c r="AE58" s="18">
        <f>ROUNDUP((T58+U58+V58+W58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8" s="24" t="str">
        <f t="shared" si="13"/>
        <v>Нет</v>
      </c>
      <c r="AG58" s="8">
        <f t="shared" si="14"/>
        <v>-204620.84999999998</v>
      </c>
    </row>
    <row r="59" spans="1:33" ht="25.5" x14ac:dyDescent="0.25">
      <c r="A59" s="2" t="s">
        <v>655</v>
      </c>
      <c r="B59" s="12">
        <v>55</v>
      </c>
      <c r="C59" s="2" t="s">
        <v>742</v>
      </c>
      <c r="D59" s="2" t="s">
        <v>743</v>
      </c>
      <c r="E59" s="18">
        <f>Входы!$C$36</f>
        <v>80</v>
      </c>
      <c r="F59" s="18">
        <f>E59*Входы!$C$37/Входы!$C$36</f>
        <v>24</v>
      </c>
      <c r="G59" s="18">
        <f>F59*Входы!$C$38/Входы!$C$37</f>
        <v>12</v>
      </c>
      <c r="H59" s="18">
        <f>Входы!$C$28/12/Входы!$C$40</f>
        <v>1</v>
      </c>
      <c r="I59" s="18">
        <f>MIN(G59,H59,(Входы!$C$31/12/Входы!$C$80)/Входы!$C$41,MAX(0,Входы!$C$34/Входы!$C$55-L59+K59)/Входы!$C$41,MAX(0,Входы!$C$22-L59)/Входы!$C$41,MAX(0,Входы!$C$58-SUM(J57:J58))/Входы!$C$41,Входы!$C$39/Входы!$C$41)</f>
        <v>1</v>
      </c>
      <c r="J59" s="18">
        <f>I59*Входы!$C$41</f>
        <v>0.5</v>
      </c>
      <c r="K59" s="18">
        <f t="shared" si="8"/>
        <v>0.5</v>
      </c>
      <c r="L59" s="18">
        <f t="shared" si="15"/>
        <v>12</v>
      </c>
      <c r="M59" s="18">
        <f t="shared" si="9"/>
        <v>12</v>
      </c>
      <c r="N59" s="18">
        <f t="shared" si="10"/>
        <v>12</v>
      </c>
      <c r="O59" s="18">
        <f>I59*Входы!$C$40</f>
        <v>20</v>
      </c>
      <c r="P59" s="18">
        <f>J59*Входы!$C$80</f>
        <v>10</v>
      </c>
      <c r="Q59" s="18">
        <f>N59*Входы!$C$55/12</f>
        <v>24</v>
      </c>
      <c r="R59" s="8">
        <f>N59*Входы!$C$75</f>
        <v>300000</v>
      </c>
      <c r="S59" s="8">
        <f>J59*Входы!$C$77</f>
        <v>40000</v>
      </c>
      <c r="T5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59" s="8">
        <f>Входы!$C$94*Входы!$C$153*Входы!$C$95</f>
        <v>48750</v>
      </c>
      <c r="V59" s="8">
        <f>Входы!$C$154</f>
        <v>10000</v>
      </c>
      <c r="W59" s="8">
        <f>0</f>
        <v>0</v>
      </c>
      <c r="X59" s="8">
        <f>I59*Входы!$C$40*Входы!$C$81</f>
        <v>50000</v>
      </c>
      <c r="Y59" s="8">
        <f>J59*(Входы!$C$80*Входы!$C$81+Входы!$C$82)</f>
        <v>32500</v>
      </c>
      <c r="Z59" s="8">
        <f>J59*Входы!$C$96*Входы!$C$75*12</f>
        <v>15000</v>
      </c>
      <c r="AA59" s="8">
        <f>N59*Входы!$C$83</f>
        <v>60000</v>
      </c>
      <c r="AB59" s="8">
        <f t="shared" si="11"/>
        <v>504620.85</v>
      </c>
      <c r="AC59" s="8">
        <f t="shared" si="12"/>
        <v>-164620.84999999998</v>
      </c>
      <c r="AD59" s="8">
        <f t="shared" si="16"/>
        <v>-12019363.669999987</v>
      </c>
      <c r="AE59" s="18">
        <f>ROUNDUP((T59+U59+V59+W59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59" s="24" t="str">
        <f t="shared" si="13"/>
        <v>Нет</v>
      </c>
      <c r="AG59" s="8">
        <f t="shared" si="14"/>
        <v>-204620.84999999998</v>
      </c>
    </row>
    <row r="60" spans="1:33" ht="25.5" x14ac:dyDescent="0.25">
      <c r="A60" s="2" t="s">
        <v>655</v>
      </c>
      <c r="B60" s="12">
        <v>56</v>
      </c>
      <c r="C60" s="2" t="s">
        <v>742</v>
      </c>
      <c r="D60" s="2" t="s">
        <v>743</v>
      </c>
      <c r="E60" s="18">
        <f>Входы!$C$36</f>
        <v>80</v>
      </c>
      <c r="F60" s="18">
        <f>E60*Входы!$C$37/Входы!$C$36</f>
        <v>24</v>
      </c>
      <c r="G60" s="18">
        <f>F60*Входы!$C$38/Входы!$C$37</f>
        <v>12</v>
      </c>
      <c r="H60" s="18">
        <f>Входы!$C$28/12/Входы!$C$40</f>
        <v>1</v>
      </c>
      <c r="I60" s="18">
        <f>MIN(G60,H60,(Входы!$C$31/12/Входы!$C$80)/Входы!$C$41,MAX(0,Входы!$C$34/Входы!$C$55-L60+K60)/Входы!$C$41,MAX(0,Входы!$C$22-L60)/Входы!$C$41,MAX(0,Входы!$C$58-SUM(J57:J59))/Входы!$C$41,Входы!$C$39/Входы!$C$41)</f>
        <v>1</v>
      </c>
      <c r="J60" s="18">
        <f>I60*Входы!$C$41</f>
        <v>0.5</v>
      </c>
      <c r="K60" s="18">
        <f t="shared" si="8"/>
        <v>0.5</v>
      </c>
      <c r="L60" s="18">
        <f t="shared" si="15"/>
        <v>12</v>
      </c>
      <c r="M60" s="18">
        <f t="shared" si="9"/>
        <v>12</v>
      </c>
      <c r="N60" s="18">
        <f t="shared" si="10"/>
        <v>12</v>
      </c>
      <c r="O60" s="18">
        <f>I60*Входы!$C$40</f>
        <v>20</v>
      </c>
      <c r="P60" s="18">
        <f>J60*Входы!$C$80</f>
        <v>10</v>
      </c>
      <c r="Q60" s="18">
        <f>N60*Входы!$C$55/12</f>
        <v>24</v>
      </c>
      <c r="R60" s="8">
        <f>N60*Входы!$C$75</f>
        <v>300000</v>
      </c>
      <c r="S60" s="8">
        <f>J60*Входы!$C$77</f>
        <v>40000</v>
      </c>
      <c r="T6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0" s="8">
        <f>Входы!$C$94*Входы!$C$153*Входы!$C$95</f>
        <v>48750</v>
      </c>
      <c r="V60" s="8">
        <f>Входы!$C$154</f>
        <v>10000</v>
      </c>
      <c r="W60" s="8">
        <f>0</f>
        <v>0</v>
      </c>
      <c r="X60" s="8">
        <f>I60*Входы!$C$40*Входы!$C$81</f>
        <v>50000</v>
      </c>
      <c r="Y60" s="8">
        <f>J60*(Входы!$C$80*Входы!$C$81+Входы!$C$82)</f>
        <v>32500</v>
      </c>
      <c r="Z60" s="8">
        <f>J60*Входы!$C$96*Входы!$C$75*12</f>
        <v>15000</v>
      </c>
      <c r="AA60" s="8">
        <f>N60*Входы!$C$83</f>
        <v>60000</v>
      </c>
      <c r="AB60" s="8">
        <f t="shared" si="11"/>
        <v>504620.85</v>
      </c>
      <c r="AC60" s="8">
        <f t="shared" si="12"/>
        <v>-164620.84999999998</v>
      </c>
      <c r="AD60" s="8">
        <f t="shared" si="16"/>
        <v>-12183984.519999987</v>
      </c>
      <c r="AE60" s="18">
        <f>ROUNDUP((T60+U60+V60+W60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0" s="24" t="str">
        <f t="shared" si="13"/>
        <v>Нет</v>
      </c>
      <c r="AG60" s="8">
        <f t="shared" si="14"/>
        <v>-204620.84999999998</v>
      </c>
    </row>
    <row r="61" spans="1:33" ht="25.5" x14ac:dyDescent="0.25">
      <c r="A61" s="2" t="s">
        <v>655</v>
      </c>
      <c r="B61" s="12">
        <v>57</v>
      </c>
      <c r="C61" s="2" t="s">
        <v>742</v>
      </c>
      <c r="D61" s="2" t="s">
        <v>743</v>
      </c>
      <c r="E61" s="18">
        <f>Входы!$C$36</f>
        <v>80</v>
      </c>
      <c r="F61" s="18">
        <f>E61*Входы!$C$37/Входы!$C$36</f>
        <v>24</v>
      </c>
      <c r="G61" s="18">
        <f>F61*Входы!$C$38/Входы!$C$37</f>
        <v>12</v>
      </c>
      <c r="H61" s="18">
        <f>Входы!$C$28/12/Входы!$C$40</f>
        <v>1</v>
      </c>
      <c r="I61" s="18">
        <f>MIN(G61,H61,(Входы!$C$31/12/Входы!$C$80)/Входы!$C$41,MAX(0,Входы!$C$34/Входы!$C$55-L61+K61)/Входы!$C$41,MAX(0,Входы!$C$22-L61)/Входы!$C$41,MAX(0,Входы!$C$58-SUM(J57:J60))/Входы!$C$41,Входы!$C$39/Входы!$C$41)</f>
        <v>1</v>
      </c>
      <c r="J61" s="18">
        <f>I61*Входы!$C$41</f>
        <v>0.5</v>
      </c>
      <c r="K61" s="18">
        <f t="shared" si="8"/>
        <v>0.5</v>
      </c>
      <c r="L61" s="18">
        <f t="shared" si="15"/>
        <v>12</v>
      </c>
      <c r="M61" s="18">
        <f t="shared" si="9"/>
        <v>12</v>
      </c>
      <c r="N61" s="18">
        <f t="shared" si="10"/>
        <v>12</v>
      </c>
      <c r="O61" s="18">
        <f>I61*Входы!$C$40</f>
        <v>20</v>
      </c>
      <c r="P61" s="18">
        <f>J61*Входы!$C$80</f>
        <v>10</v>
      </c>
      <c r="Q61" s="18">
        <f>N61*Входы!$C$55/12</f>
        <v>24</v>
      </c>
      <c r="R61" s="8">
        <f>N61*Входы!$C$75</f>
        <v>300000</v>
      </c>
      <c r="S61" s="8">
        <f>J61*Входы!$C$77</f>
        <v>40000</v>
      </c>
      <c r="T6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1" s="8">
        <f>Входы!$C$94*Входы!$C$153*Входы!$C$95</f>
        <v>48750</v>
      </c>
      <c r="V61" s="8">
        <f>Входы!$C$154</f>
        <v>10000</v>
      </c>
      <c r="W61" s="8">
        <f>0</f>
        <v>0</v>
      </c>
      <c r="X61" s="8">
        <f>I61*Входы!$C$40*Входы!$C$81</f>
        <v>50000</v>
      </c>
      <c r="Y61" s="8">
        <f>J61*(Входы!$C$80*Входы!$C$81+Входы!$C$82)</f>
        <v>32500</v>
      </c>
      <c r="Z61" s="8">
        <f>J61*Входы!$C$96*Входы!$C$75*12</f>
        <v>15000</v>
      </c>
      <c r="AA61" s="8">
        <f>N61*Входы!$C$83</f>
        <v>60000</v>
      </c>
      <c r="AB61" s="8">
        <f t="shared" si="11"/>
        <v>504620.85</v>
      </c>
      <c r="AC61" s="8">
        <f t="shared" si="12"/>
        <v>-164620.84999999998</v>
      </c>
      <c r="AD61" s="8">
        <f t="shared" si="16"/>
        <v>-12348605.369999986</v>
      </c>
      <c r="AE61" s="18">
        <f>ROUNDUP((T61+U61+V61+W61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1" s="24" t="str">
        <f t="shared" si="13"/>
        <v>Нет</v>
      </c>
      <c r="AG61" s="8">
        <f t="shared" si="14"/>
        <v>-204620.84999999998</v>
      </c>
    </row>
    <row r="62" spans="1:33" ht="25.5" x14ac:dyDescent="0.25">
      <c r="A62" s="2" t="s">
        <v>655</v>
      </c>
      <c r="B62" s="12">
        <v>58</v>
      </c>
      <c r="C62" s="2" t="s">
        <v>742</v>
      </c>
      <c r="D62" s="2" t="s">
        <v>743</v>
      </c>
      <c r="E62" s="18">
        <f>Входы!$C$36</f>
        <v>80</v>
      </c>
      <c r="F62" s="18">
        <f>E62*Входы!$C$37/Входы!$C$36</f>
        <v>24</v>
      </c>
      <c r="G62" s="18">
        <f>F62*Входы!$C$38/Входы!$C$37</f>
        <v>12</v>
      </c>
      <c r="H62" s="18">
        <f>Входы!$C$28/12/Входы!$C$40</f>
        <v>1</v>
      </c>
      <c r="I62" s="18">
        <f>MIN(G62,H62,(Входы!$C$31/12/Входы!$C$80)/Входы!$C$41,MAX(0,Входы!$C$34/Входы!$C$55-L62+K62)/Входы!$C$41,MAX(0,Входы!$C$22-L62)/Входы!$C$41,MAX(0,Входы!$C$58-SUM(J57:J61))/Входы!$C$41,Входы!$C$39/Входы!$C$41)</f>
        <v>1</v>
      </c>
      <c r="J62" s="18">
        <f>I62*Входы!$C$41</f>
        <v>0.5</v>
      </c>
      <c r="K62" s="18">
        <f t="shared" si="8"/>
        <v>0.5</v>
      </c>
      <c r="L62" s="18">
        <f t="shared" si="15"/>
        <v>12</v>
      </c>
      <c r="M62" s="18">
        <f t="shared" si="9"/>
        <v>12</v>
      </c>
      <c r="N62" s="18">
        <f t="shared" si="10"/>
        <v>12</v>
      </c>
      <c r="O62" s="18">
        <f>I62*Входы!$C$40</f>
        <v>20</v>
      </c>
      <c r="P62" s="18">
        <f>J62*Входы!$C$80</f>
        <v>10</v>
      </c>
      <c r="Q62" s="18">
        <f>N62*Входы!$C$55/12</f>
        <v>24</v>
      </c>
      <c r="R62" s="8">
        <f>N62*Входы!$C$75</f>
        <v>300000</v>
      </c>
      <c r="S62" s="8">
        <f>J62*Входы!$C$77</f>
        <v>40000</v>
      </c>
      <c r="T6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2" s="8">
        <f>Входы!$C$94*Входы!$C$153*Входы!$C$95</f>
        <v>48750</v>
      </c>
      <c r="V62" s="8">
        <f>Входы!$C$154</f>
        <v>10000</v>
      </c>
      <c r="W62" s="8">
        <f>0</f>
        <v>0</v>
      </c>
      <c r="X62" s="8">
        <f>I62*Входы!$C$40*Входы!$C$81</f>
        <v>50000</v>
      </c>
      <c r="Y62" s="8">
        <f>J62*(Входы!$C$80*Входы!$C$81+Входы!$C$82)</f>
        <v>32500</v>
      </c>
      <c r="Z62" s="8">
        <f>J62*Входы!$C$96*Входы!$C$75*12</f>
        <v>15000</v>
      </c>
      <c r="AA62" s="8">
        <f>N62*Входы!$C$83</f>
        <v>60000</v>
      </c>
      <c r="AB62" s="8">
        <f t="shared" si="11"/>
        <v>504620.85</v>
      </c>
      <c r="AC62" s="8">
        <f t="shared" si="12"/>
        <v>-164620.84999999998</v>
      </c>
      <c r="AD62" s="8">
        <f t="shared" si="16"/>
        <v>-12513226.219999986</v>
      </c>
      <c r="AE62" s="18">
        <f>ROUNDUP((T62+U62+V62+W62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2" s="24" t="str">
        <f t="shared" si="13"/>
        <v>Нет</v>
      </c>
      <c r="AG62" s="8">
        <f t="shared" si="14"/>
        <v>-204620.84999999998</v>
      </c>
    </row>
    <row r="63" spans="1:33" ht="25.5" x14ac:dyDescent="0.25">
      <c r="A63" s="2" t="s">
        <v>655</v>
      </c>
      <c r="B63" s="12">
        <v>59</v>
      </c>
      <c r="C63" s="2" t="s">
        <v>742</v>
      </c>
      <c r="D63" s="2" t="s">
        <v>743</v>
      </c>
      <c r="E63" s="18">
        <f>Входы!$C$36</f>
        <v>80</v>
      </c>
      <c r="F63" s="18">
        <f>E63*Входы!$C$37/Входы!$C$36</f>
        <v>24</v>
      </c>
      <c r="G63" s="18">
        <f>F63*Входы!$C$38/Входы!$C$37</f>
        <v>12</v>
      </c>
      <c r="H63" s="18">
        <f>Входы!$C$28/12/Входы!$C$40</f>
        <v>1</v>
      </c>
      <c r="I63" s="18">
        <f>MIN(G63,H63,(Входы!$C$31/12/Входы!$C$80)/Входы!$C$41,MAX(0,Входы!$C$34/Входы!$C$55-L63+K63)/Входы!$C$41,MAX(0,Входы!$C$22-L63)/Входы!$C$41,MAX(0,Входы!$C$58-SUM(J57:J62))/Входы!$C$41,Входы!$C$39/Входы!$C$41)</f>
        <v>1</v>
      </c>
      <c r="J63" s="18">
        <f>I63*Входы!$C$41</f>
        <v>0.5</v>
      </c>
      <c r="K63" s="18">
        <f t="shared" si="8"/>
        <v>0.5</v>
      </c>
      <c r="L63" s="18">
        <f t="shared" si="15"/>
        <v>12</v>
      </c>
      <c r="M63" s="18">
        <f t="shared" si="9"/>
        <v>12</v>
      </c>
      <c r="N63" s="18">
        <f t="shared" si="10"/>
        <v>12</v>
      </c>
      <c r="O63" s="18">
        <f>I63*Входы!$C$40</f>
        <v>20</v>
      </c>
      <c r="P63" s="18">
        <f>J63*Входы!$C$80</f>
        <v>10</v>
      </c>
      <c r="Q63" s="18">
        <f>N63*Входы!$C$55/12</f>
        <v>24</v>
      </c>
      <c r="R63" s="8">
        <f>N63*Входы!$C$75</f>
        <v>300000</v>
      </c>
      <c r="S63" s="8">
        <f>J63*Входы!$C$77</f>
        <v>40000</v>
      </c>
      <c r="T6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3" s="8">
        <f>Входы!$C$94*Входы!$C$153*Входы!$C$95</f>
        <v>48750</v>
      </c>
      <c r="V63" s="8">
        <f>Входы!$C$154</f>
        <v>10000</v>
      </c>
      <c r="W63" s="8">
        <f>0</f>
        <v>0</v>
      </c>
      <c r="X63" s="8">
        <f>I63*Входы!$C$40*Входы!$C$81</f>
        <v>50000</v>
      </c>
      <c r="Y63" s="8">
        <f>J63*(Входы!$C$80*Входы!$C$81+Входы!$C$82)</f>
        <v>32500</v>
      </c>
      <c r="Z63" s="8">
        <f>J63*Входы!$C$96*Входы!$C$75*12</f>
        <v>15000</v>
      </c>
      <c r="AA63" s="8">
        <f>N63*Входы!$C$83</f>
        <v>60000</v>
      </c>
      <c r="AB63" s="8">
        <f t="shared" si="11"/>
        <v>504620.85</v>
      </c>
      <c r="AC63" s="8">
        <f t="shared" si="12"/>
        <v>-164620.84999999998</v>
      </c>
      <c r="AD63" s="8">
        <f t="shared" si="16"/>
        <v>-12677847.069999985</v>
      </c>
      <c r="AE63" s="18">
        <f>ROUNDUP((T63+U63+V63+W63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3" s="24" t="str">
        <f t="shared" si="13"/>
        <v>Нет</v>
      </c>
      <c r="AG63" s="8">
        <f t="shared" si="14"/>
        <v>-204620.84999999998</v>
      </c>
    </row>
    <row r="64" spans="1:33" ht="25.5" x14ac:dyDescent="0.25">
      <c r="A64" s="2" t="s">
        <v>655</v>
      </c>
      <c r="B64" s="12">
        <v>60</v>
      </c>
      <c r="C64" s="2" t="s">
        <v>742</v>
      </c>
      <c r="D64" s="2" t="s">
        <v>743</v>
      </c>
      <c r="E64" s="18">
        <f>Входы!$C$36</f>
        <v>80</v>
      </c>
      <c r="F64" s="18">
        <f>E64*Входы!$C$37/Входы!$C$36</f>
        <v>24</v>
      </c>
      <c r="G64" s="18">
        <f>F64*Входы!$C$38/Входы!$C$37</f>
        <v>12</v>
      </c>
      <c r="H64" s="18">
        <f>Входы!$C$28/12/Входы!$C$40</f>
        <v>1</v>
      </c>
      <c r="I64" s="18">
        <f>MIN(G64,H64,(Входы!$C$31/12/Входы!$C$80)/Входы!$C$41,MAX(0,Входы!$C$34/Входы!$C$55-L64+K64)/Входы!$C$41,MAX(0,Входы!$C$22-L64)/Входы!$C$41,MAX(0,Входы!$C$58-SUM(J57:J63))/Входы!$C$41,Входы!$C$39/Входы!$C$41)</f>
        <v>1</v>
      </c>
      <c r="J64" s="18">
        <f>I64*Входы!$C$41</f>
        <v>0.5</v>
      </c>
      <c r="K64" s="18">
        <f t="shared" si="8"/>
        <v>0.5</v>
      </c>
      <c r="L64" s="18">
        <f t="shared" si="15"/>
        <v>12</v>
      </c>
      <c r="M64" s="18">
        <f t="shared" si="9"/>
        <v>12</v>
      </c>
      <c r="N64" s="18">
        <f t="shared" si="10"/>
        <v>12</v>
      </c>
      <c r="O64" s="18">
        <f>I64*Входы!$C$40</f>
        <v>20</v>
      </c>
      <c r="P64" s="18">
        <f>J64*Входы!$C$80</f>
        <v>10</v>
      </c>
      <c r="Q64" s="18">
        <f>N64*Входы!$C$55/12</f>
        <v>24</v>
      </c>
      <c r="R64" s="8">
        <f>N64*Входы!$C$75</f>
        <v>300000</v>
      </c>
      <c r="S64" s="8">
        <f>J64*Входы!$C$77</f>
        <v>40000</v>
      </c>
      <c r="T6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4" s="8">
        <f>Входы!$C$94*Входы!$C$153*Входы!$C$95</f>
        <v>48750</v>
      </c>
      <c r="V64" s="8">
        <f>Входы!$C$154</f>
        <v>10000</v>
      </c>
      <c r="W64" s="8">
        <f>0</f>
        <v>0</v>
      </c>
      <c r="X64" s="8">
        <f>I64*Входы!$C$40*Входы!$C$81</f>
        <v>50000</v>
      </c>
      <c r="Y64" s="8">
        <f>J64*(Входы!$C$80*Входы!$C$81+Входы!$C$82)</f>
        <v>32500</v>
      </c>
      <c r="Z64" s="8">
        <f>J64*Входы!$C$96*Входы!$C$75*12</f>
        <v>15000</v>
      </c>
      <c r="AA64" s="8">
        <f>N64*Входы!$C$83</f>
        <v>60000</v>
      </c>
      <c r="AB64" s="8">
        <f t="shared" si="11"/>
        <v>504620.85</v>
      </c>
      <c r="AC64" s="8">
        <f t="shared" si="12"/>
        <v>-164620.84999999998</v>
      </c>
      <c r="AD64" s="8">
        <f t="shared" si="16"/>
        <v>-12842467.919999985</v>
      </c>
      <c r="AE64" s="18">
        <f>ROUNDUP((T64+U64+V64+W64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4" s="24" t="str">
        <f t="shared" si="13"/>
        <v>Нет</v>
      </c>
      <c r="AG64" s="8">
        <f t="shared" si="14"/>
        <v>-204620.84999999998</v>
      </c>
    </row>
    <row r="65" spans="1:33" ht="25.5" x14ac:dyDescent="0.25">
      <c r="A65" s="2" t="s">
        <v>655</v>
      </c>
      <c r="B65" s="12">
        <v>61</v>
      </c>
      <c r="C65" s="2" t="s">
        <v>742</v>
      </c>
      <c r="D65" s="2" t="s">
        <v>743</v>
      </c>
      <c r="E65" s="18">
        <f>Входы!$C$36</f>
        <v>80</v>
      </c>
      <c r="F65" s="18">
        <f>E65*Входы!$C$37/Входы!$C$36</f>
        <v>24</v>
      </c>
      <c r="G65" s="18">
        <f>F65*Входы!$C$38/Входы!$C$37</f>
        <v>12</v>
      </c>
      <c r="H65" s="18">
        <f>Входы!$C$28/12/Входы!$C$40</f>
        <v>1</v>
      </c>
      <c r="I65" s="18">
        <f>MIN(G65,H65,(Входы!$C$31/12/Входы!$C$80)/Входы!$C$41,MAX(0,Входы!$C$34/Входы!$C$55-L65+K65)/Входы!$C$41,MAX(0,Входы!$C$22-L65)/Входы!$C$41,MAX(0,Входы!$C$58-SUM(J57:J64))/Входы!$C$41,Входы!$C$39/Входы!$C$41)</f>
        <v>1</v>
      </c>
      <c r="J65" s="18">
        <f>I65*Входы!$C$41</f>
        <v>0.5</v>
      </c>
      <c r="K65" s="18">
        <f t="shared" si="8"/>
        <v>0.5</v>
      </c>
      <c r="L65" s="18">
        <f t="shared" si="15"/>
        <v>12</v>
      </c>
      <c r="M65" s="18">
        <f t="shared" si="9"/>
        <v>12</v>
      </c>
      <c r="N65" s="18">
        <f t="shared" si="10"/>
        <v>12</v>
      </c>
      <c r="O65" s="18">
        <f>I65*Входы!$C$40</f>
        <v>20</v>
      </c>
      <c r="P65" s="18">
        <f>J65*Входы!$C$80</f>
        <v>10</v>
      </c>
      <c r="Q65" s="18">
        <f>N65*Входы!$C$55/12</f>
        <v>24</v>
      </c>
      <c r="R65" s="8">
        <f>N65*Входы!$C$75</f>
        <v>300000</v>
      </c>
      <c r="S65" s="8">
        <f>J65*Входы!$C$77</f>
        <v>40000</v>
      </c>
      <c r="T6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5" s="8">
        <f>Входы!$C$94*Входы!$C$153*Входы!$C$95</f>
        <v>48750</v>
      </c>
      <c r="V65" s="8">
        <f>Входы!$C$154</f>
        <v>10000</v>
      </c>
      <c r="W65" s="8">
        <f>0</f>
        <v>0</v>
      </c>
      <c r="X65" s="8">
        <f>I65*Входы!$C$40*Входы!$C$81</f>
        <v>50000</v>
      </c>
      <c r="Y65" s="8">
        <f>J65*(Входы!$C$80*Входы!$C$81+Входы!$C$82)</f>
        <v>32500</v>
      </c>
      <c r="Z65" s="8">
        <f>J65*Входы!$C$96*Входы!$C$75*12</f>
        <v>15000</v>
      </c>
      <c r="AA65" s="8">
        <f>N65*Входы!$C$83</f>
        <v>60000</v>
      </c>
      <c r="AB65" s="8">
        <f t="shared" si="11"/>
        <v>504620.85</v>
      </c>
      <c r="AC65" s="8">
        <f t="shared" si="12"/>
        <v>-164620.84999999998</v>
      </c>
      <c r="AD65" s="8">
        <f t="shared" si="16"/>
        <v>-13007088.769999985</v>
      </c>
      <c r="AE65" s="18">
        <f>ROUNDUP((T65+U65+V65+W65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5" s="24" t="str">
        <f t="shared" si="13"/>
        <v>Нет</v>
      </c>
      <c r="AG65" s="8">
        <f t="shared" si="14"/>
        <v>-204620.84999999998</v>
      </c>
    </row>
    <row r="66" spans="1:33" ht="25.5" x14ac:dyDescent="0.25">
      <c r="A66" s="2" t="s">
        <v>655</v>
      </c>
      <c r="B66" s="12">
        <v>62</v>
      </c>
      <c r="C66" s="2" t="s">
        <v>742</v>
      </c>
      <c r="D66" s="2" t="s">
        <v>743</v>
      </c>
      <c r="E66" s="18">
        <f>Входы!$C$36</f>
        <v>80</v>
      </c>
      <c r="F66" s="18">
        <f>E66*Входы!$C$37/Входы!$C$36</f>
        <v>24</v>
      </c>
      <c r="G66" s="18">
        <f>F66*Входы!$C$38/Входы!$C$37</f>
        <v>12</v>
      </c>
      <c r="H66" s="18">
        <f>Входы!$C$28/12/Входы!$C$40</f>
        <v>1</v>
      </c>
      <c r="I66" s="18">
        <f>MIN(G66,H66,(Входы!$C$31/12/Входы!$C$80)/Входы!$C$41,MAX(0,Входы!$C$34/Входы!$C$55-L66+K66)/Входы!$C$41,MAX(0,Входы!$C$22-L66)/Входы!$C$41,MAX(0,Входы!$C$58-SUM(J57:J65))/Входы!$C$41,Входы!$C$39/Входы!$C$41)</f>
        <v>1</v>
      </c>
      <c r="J66" s="18">
        <f>I66*Входы!$C$41</f>
        <v>0.5</v>
      </c>
      <c r="K66" s="18">
        <f t="shared" si="8"/>
        <v>0.5</v>
      </c>
      <c r="L66" s="18">
        <f t="shared" si="15"/>
        <v>12</v>
      </c>
      <c r="M66" s="18">
        <f t="shared" si="9"/>
        <v>12</v>
      </c>
      <c r="N66" s="18">
        <f t="shared" si="10"/>
        <v>12</v>
      </c>
      <c r="O66" s="18">
        <f>I66*Входы!$C$40</f>
        <v>20</v>
      </c>
      <c r="P66" s="18">
        <f>J66*Входы!$C$80</f>
        <v>10</v>
      </c>
      <c r="Q66" s="18">
        <f>N66*Входы!$C$55/12</f>
        <v>24</v>
      </c>
      <c r="R66" s="8">
        <f>N66*Входы!$C$75</f>
        <v>300000</v>
      </c>
      <c r="S66" s="8">
        <f>J66*Входы!$C$77</f>
        <v>40000</v>
      </c>
      <c r="T6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6" s="8">
        <f>Входы!$C$94*Входы!$C$153*Входы!$C$95</f>
        <v>48750</v>
      </c>
      <c r="V66" s="8">
        <f>Входы!$C$154</f>
        <v>10000</v>
      </c>
      <c r="W66" s="8">
        <f>0</f>
        <v>0</v>
      </c>
      <c r="X66" s="8">
        <f>I66*Входы!$C$40*Входы!$C$81</f>
        <v>50000</v>
      </c>
      <c r="Y66" s="8">
        <f>J66*(Входы!$C$80*Входы!$C$81+Входы!$C$82)</f>
        <v>32500</v>
      </c>
      <c r="Z66" s="8">
        <f>J66*Входы!$C$96*Входы!$C$75*12</f>
        <v>15000</v>
      </c>
      <c r="AA66" s="8">
        <f>N66*Входы!$C$83</f>
        <v>60000</v>
      </c>
      <c r="AB66" s="8">
        <f t="shared" si="11"/>
        <v>504620.85</v>
      </c>
      <c r="AC66" s="8">
        <f t="shared" si="12"/>
        <v>-164620.84999999998</v>
      </c>
      <c r="AD66" s="8">
        <f t="shared" si="16"/>
        <v>-13171709.619999984</v>
      </c>
      <c r="AE66" s="18">
        <f>ROUNDUP((T66+U66+V66+W66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6" s="24" t="str">
        <f t="shared" si="13"/>
        <v>Нет</v>
      </c>
      <c r="AG66" s="8">
        <f t="shared" si="14"/>
        <v>-204620.84999999998</v>
      </c>
    </row>
    <row r="67" spans="1:33" ht="25.5" x14ac:dyDescent="0.25">
      <c r="A67" s="2" t="s">
        <v>655</v>
      </c>
      <c r="B67" s="12">
        <v>63</v>
      </c>
      <c r="C67" s="2" t="s">
        <v>742</v>
      </c>
      <c r="D67" s="2" t="s">
        <v>743</v>
      </c>
      <c r="E67" s="18">
        <f>Входы!$C$36</f>
        <v>80</v>
      </c>
      <c r="F67" s="18">
        <f>E67*Входы!$C$37/Входы!$C$36</f>
        <v>24</v>
      </c>
      <c r="G67" s="18">
        <f>F67*Входы!$C$38/Входы!$C$37</f>
        <v>12</v>
      </c>
      <c r="H67" s="18">
        <f>Входы!$C$28/12/Входы!$C$40</f>
        <v>1</v>
      </c>
      <c r="I67" s="18">
        <f>MIN(G67,H67,(Входы!$C$31/12/Входы!$C$80)/Входы!$C$41,MAX(0,Входы!$C$34/Входы!$C$55-L67+K67)/Входы!$C$41,MAX(0,Входы!$C$22-L67)/Входы!$C$41,MAX(0,Входы!$C$58-SUM(J57:J66))/Входы!$C$41,Входы!$C$39/Входы!$C$41)</f>
        <v>1</v>
      </c>
      <c r="J67" s="18">
        <f>I67*Входы!$C$41</f>
        <v>0.5</v>
      </c>
      <c r="K67" s="18">
        <f t="shared" si="8"/>
        <v>0.5</v>
      </c>
      <c r="L67" s="18">
        <f t="shared" si="15"/>
        <v>12</v>
      </c>
      <c r="M67" s="18">
        <f t="shared" si="9"/>
        <v>12</v>
      </c>
      <c r="N67" s="18">
        <f t="shared" si="10"/>
        <v>12</v>
      </c>
      <c r="O67" s="18">
        <f>I67*Входы!$C$40</f>
        <v>20</v>
      </c>
      <c r="P67" s="18">
        <f>J67*Входы!$C$80</f>
        <v>10</v>
      </c>
      <c r="Q67" s="18">
        <f>N67*Входы!$C$55/12</f>
        <v>24</v>
      </c>
      <c r="R67" s="8">
        <f>N67*Входы!$C$75</f>
        <v>300000</v>
      </c>
      <c r="S67" s="8">
        <f>J67*Входы!$C$77</f>
        <v>40000</v>
      </c>
      <c r="T6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7" s="8">
        <f>Входы!$C$94*Входы!$C$153*Входы!$C$95</f>
        <v>48750</v>
      </c>
      <c r="V67" s="8">
        <f>Входы!$C$154</f>
        <v>10000</v>
      </c>
      <c r="W67" s="8">
        <f>0</f>
        <v>0</v>
      </c>
      <c r="X67" s="8">
        <f>I67*Входы!$C$40*Входы!$C$81</f>
        <v>50000</v>
      </c>
      <c r="Y67" s="8">
        <f>J67*(Входы!$C$80*Входы!$C$81+Входы!$C$82)</f>
        <v>32500</v>
      </c>
      <c r="Z67" s="8">
        <f>J67*Входы!$C$96*Входы!$C$75*12</f>
        <v>15000</v>
      </c>
      <c r="AA67" s="8">
        <f>N67*Входы!$C$83</f>
        <v>60000</v>
      </c>
      <c r="AB67" s="8">
        <f t="shared" si="11"/>
        <v>504620.85</v>
      </c>
      <c r="AC67" s="8">
        <f t="shared" si="12"/>
        <v>-164620.84999999998</v>
      </c>
      <c r="AD67" s="8">
        <f t="shared" si="16"/>
        <v>-13336330.469999984</v>
      </c>
      <c r="AE67" s="18">
        <f>ROUNDUP((T67+U67+V67+W67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7" s="24" t="str">
        <f t="shared" si="13"/>
        <v>Нет</v>
      </c>
      <c r="AG67" s="8">
        <f t="shared" si="14"/>
        <v>-204620.84999999998</v>
      </c>
    </row>
    <row r="68" spans="1:33" ht="25.5" x14ac:dyDescent="0.25">
      <c r="A68" s="2" t="s">
        <v>655</v>
      </c>
      <c r="B68" s="12">
        <v>64</v>
      </c>
      <c r="C68" s="2" t="s">
        <v>742</v>
      </c>
      <c r="D68" s="2" t="s">
        <v>743</v>
      </c>
      <c r="E68" s="18">
        <f>Входы!$C$36</f>
        <v>80</v>
      </c>
      <c r="F68" s="18">
        <f>E68*Входы!$C$37/Входы!$C$36</f>
        <v>24</v>
      </c>
      <c r="G68" s="18">
        <f>F68*Входы!$C$38/Входы!$C$37</f>
        <v>12</v>
      </c>
      <c r="H68" s="18">
        <f>Входы!$C$28/12/Входы!$C$40</f>
        <v>1</v>
      </c>
      <c r="I68" s="18">
        <f>MIN(G68,H68,(Входы!$C$31/12/Входы!$C$80)/Входы!$C$41,MAX(0,Входы!$C$34/Входы!$C$55-L68+K68)/Входы!$C$41,MAX(0,Входы!$C$22-L68)/Входы!$C$41,MAX(0,Входы!$C$58-SUM(J57:J67))/Входы!$C$41,Входы!$C$39/Входы!$C$41)</f>
        <v>1</v>
      </c>
      <c r="J68" s="18">
        <f>I68*Входы!$C$41</f>
        <v>0.5</v>
      </c>
      <c r="K68" s="18">
        <f t="shared" si="8"/>
        <v>0.5</v>
      </c>
      <c r="L68" s="18">
        <f t="shared" si="15"/>
        <v>12</v>
      </c>
      <c r="M68" s="18">
        <f t="shared" si="9"/>
        <v>12</v>
      </c>
      <c r="N68" s="18">
        <f t="shared" si="10"/>
        <v>12</v>
      </c>
      <c r="O68" s="18">
        <f>I68*Входы!$C$40</f>
        <v>20</v>
      </c>
      <c r="P68" s="18">
        <f>J68*Входы!$C$80</f>
        <v>10</v>
      </c>
      <c r="Q68" s="18">
        <f>N68*Входы!$C$55/12</f>
        <v>24</v>
      </c>
      <c r="R68" s="8">
        <f>N68*Входы!$C$75</f>
        <v>300000</v>
      </c>
      <c r="S68" s="8">
        <f>J68*Входы!$C$77</f>
        <v>40000</v>
      </c>
      <c r="T6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68" s="8">
        <f>Входы!$C$94*Входы!$C$153*Входы!$C$95</f>
        <v>48750</v>
      </c>
      <c r="V68" s="8">
        <f>Входы!$C$154</f>
        <v>10000</v>
      </c>
      <c r="W68" s="8">
        <f>0</f>
        <v>0</v>
      </c>
      <c r="X68" s="8">
        <f>I68*Входы!$C$40*Входы!$C$81</f>
        <v>50000</v>
      </c>
      <c r="Y68" s="8">
        <f>J68*(Входы!$C$80*Входы!$C$81+Входы!$C$82)</f>
        <v>32500</v>
      </c>
      <c r="Z68" s="8">
        <f>J68*Входы!$C$96*Входы!$C$75*12</f>
        <v>15000</v>
      </c>
      <c r="AA68" s="8">
        <f>N68*Входы!$C$83</f>
        <v>60000</v>
      </c>
      <c r="AB68" s="8">
        <f t="shared" si="11"/>
        <v>504620.85</v>
      </c>
      <c r="AC68" s="8">
        <f t="shared" si="12"/>
        <v>-164620.84999999998</v>
      </c>
      <c r="AD68" s="8">
        <f t="shared" si="16"/>
        <v>-13500951.319999984</v>
      </c>
      <c r="AE68" s="18">
        <f>ROUNDUP((T68+U68+V68+W68+(MIN(Входы!$C$58,Входы!$C$28/Входы!$C$40*Входы!$C$41,Входы!$C$31/Входы!$C$80,Входы!$C$39*12))/12*(Входы!$C$40*Входы!$C$81/Входы!$C$41+Входы!$C$96*Входы!$C$75*12))/(Входы!$C$75-Входы!$C$83),0)</f>
        <v>21</v>
      </c>
      <c r="AF68" s="24" t="str">
        <f t="shared" si="13"/>
        <v>Нет</v>
      </c>
      <c r="AG68" s="8">
        <f t="shared" si="14"/>
        <v>-204620.84999999998</v>
      </c>
    </row>
    <row r="69" spans="1:33" x14ac:dyDescent="0.25">
      <c r="A69" s="2" t="s">
        <v>656</v>
      </c>
      <c r="B69" s="12">
        <v>1</v>
      </c>
      <c r="C69" s="2" t="s">
        <v>735</v>
      </c>
      <c r="D69" s="2" t="s">
        <v>736</v>
      </c>
      <c r="E69" s="18">
        <f>0</f>
        <v>0</v>
      </c>
      <c r="F69" s="18">
        <f>0</f>
        <v>0</v>
      </c>
      <c r="G69" s="18">
        <f>0</f>
        <v>0</v>
      </c>
      <c r="H69" s="18">
        <f>0</f>
        <v>0</v>
      </c>
      <c r="I69" s="18">
        <f>0</f>
        <v>0</v>
      </c>
      <c r="J69" s="18">
        <f>0</f>
        <v>0</v>
      </c>
      <c r="K69" s="18">
        <f>0</f>
        <v>0</v>
      </c>
      <c r="L69" s="18">
        <f>0</f>
        <v>0</v>
      </c>
      <c r="M69" s="18">
        <f t="shared" ref="M69:M100" si="17">MAX(0,L69+J69-K69)</f>
        <v>0</v>
      </c>
      <c r="N69" s="18">
        <f t="shared" ref="N69:N100" si="18">(L69+M69)/2</f>
        <v>0</v>
      </c>
      <c r="O69" s="18">
        <f>I69*Входы!$C$40</f>
        <v>0</v>
      </c>
      <c r="P69" s="18">
        <f>J69*Входы!$C$80</f>
        <v>0</v>
      </c>
      <c r="Q69" s="18">
        <f>N69*Входы!$C$53/12</f>
        <v>0</v>
      </c>
      <c r="R69" s="8">
        <f>N69*Входы!$C$75</f>
        <v>0</v>
      </c>
      <c r="S69" s="8">
        <f>J69*Входы!$C$77</f>
        <v>0</v>
      </c>
      <c r="T69" s="8">
        <f>0+Входы!$C$86*Входы!$C$110*(Входы!$C$111*Входы!$C$112+Входы!$C$113*Входы!$C$89)+Входы!$C$86*Входы!$C$114*Входы!$C$90+Входы!$C$115+Входы!$C$116+Входы!$C$117</f>
        <v>3709.5600000000004</v>
      </c>
      <c r="U69" s="8">
        <f>0</f>
        <v>0</v>
      </c>
      <c r="V69" s="8">
        <f>0</f>
        <v>0</v>
      </c>
      <c r="W69" s="8">
        <f>0</f>
        <v>0</v>
      </c>
      <c r="X69" s="8">
        <f>I69*Входы!$C$40*Входы!$C$81</f>
        <v>0</v>
      </c>
      <c r="Y69" s="8">
        <f>J69*(Входы!$C$80*Входы!$C$81+Входы!$C$82)</f>
        <v>0</v>
      </c>
      <c r="Z69" s="8">
        <f>J69*Входы!$C$96*Входы!$C$75*12</f>
        <v>0</v>
      </c>
      <c r="AA69" s="8">
        <f>N69*Входы!$C$52</f>
        <v>0</v>
      </c>
      <c r="AB69" s="8">
        <f t="shared" ref="AB69:AB100" si="19">SUM(T69:AA69)</f>
        <v>3709.5600000000004</v>
      </c>
      <c r="AC69" s="8">
        <f t="shared" ref="AC69:AC100" si="20">SUM(R69:S69)-AB69</f>
        <v>-3709.5600000000004</v>
      </c>
      <c r="AD69" s="8">
        <f>AC69</f>
        <v>-3709.5600000000004</v>
      </c>
      <c r="AE69" s="18" t="str">
        <f>""</f>
        <v/>
      </c>
      <c r="AF69" s="24" t="str">
        <f t="shared" ref="AF69:AF100" si="21">IF(AE69&gt;0,IF(M69&gt;=AE69,"Да","Нет"),"")</f>
        <v>Нет</v>
      </c>
      <c r="AG69" s="8">
        <f t="shared" ref="AG69:AG100" si="22">R69-AB69</f>
        <v>-3709.5600000000004</v>
      </c>
    </row>
    <row r="70" spans="1:33" x14ac:dyDescent="0.25">
      <c r="A70" s="2" t="s">
        <v>656</v>
      </c>
      <c r="B70" s="12">
        <v>2</v>
      </c>
      <c r="C70" s="2" t="s">
        <v>735</v>
      </c>
      <c r="D70" s="2" t="s">
        <v>736</v>
      </c>
      <c r="E70" s="18">
        <f>0</f>
        <v>0</v>
      </c>
      <c r="F70" s="18">
        <f>0</f>
        <v>0</v>
      </c>
      <c r="G70" s="18">
        <f>0</f>
        <v>0</v>
      </c>
      <c r="H70" s="18">
        <f>0</f>
        <v>0</v>
      </c>
      <c r="I70" s="18">
        <f>0</f>
        <v>0</v>
      </c>
      <c r="J70" s="18">
        <f>0</f>
        <v>0</v>
      </c>
      <c r="K70" s="18">
        <f>0</f>
        <v>0</v>
      </c>
      <c r="L70" s="18">
        <f t="shared" ref="L70:L101" si="23">M69</f>
        <v>0</v>
      </c>
      <c r="M70" s="18">
        <f t="shared" si="17"/>
        <v>0</v>
      </c>
      <c r="N70" s="18">
        <f t="shared" si="18"/>
        <v>0</v>
      </c>
      <c r="O70" s="18">
        <f>I70*Входы!$C$40</f>
        <v>0</v>
      </c>
      <c r="P70" s="18">
        <f>J70*Входы!$C$80</f>
        <v>0</v>
      </c>
      <c r="Q70" s="18">
        <f>N70*Входы!$C$53/12</f>
        <v>0</v>
      </c>
      <c r="R70" s="8">
        <f>N70*Входы!$C$75</f>
        <v>0</v>
      </c>
      <c r="S70" s="8">
        <f>J70*Входы!$C$77</f>
        <v>0</v>
      </c>
      <c r="T70" s="8">
        <f>0+Входы!$C$86*Входы!$C$110*(Входы!$C$111*Входы!$C$112+Входы!$C$113*Входы!$C$89)+Входы!$C$86*Входы!$C$114*Входы!$C$90+Входы!$C$115+Входы!$C$116</f>
        <v>3510.5600000000004</v>
      </c>
      <c r="U70" s="8">
        <f>0</f>
        <v>0</v>
      </c>
      <c r="V70" s="8">
        <f>0</f>
        <v>0</v>
      </c>
      <c r="W70" s="8">
        <f>0</f>
        <v>0</v>
      </c>
      <c r="X70" s="8">
        <f>I70*Входы!$C$40*Входы!$C$81</f>
        <v>0</v>
      </c>
      <c r="Y70" s="8">
        <f>J70*(Входы!$C$80*Входы!$C$81+Входы!$C$82)</f>
        <v>0</v>
      </c>
      <c r="Z70" s="8">
        <f>J70*Входы!$C$96*Входы!$C$75*12</f>
        <v>0</v>
      </c>
      <c r="AA70" s="8">
        <f>N70*Входы!$C$52</f>
        <v>0</v>
      </c>
      <c r="AB70" s="8">
        <f t="shared" si="19"/>
        <v>3510.5600000000004</v>
      </c>
      <c r="AC70" s="8">
        <f t="shared" si="20"/>
        <v>-3510.5600000000004</v>
      </c>
      <c r="AD70" s="8">
        <f t="shared" ref="AD70:AD101" si="24">AD69+AC70</f>
        <v>-7220.1200000000008</v>
      </c>
      <c r="AE70" s="18" t="str">
        <f>""</f>
        <v/>
      </c>
      <c r="AF70" s="24" t="str">
        <f t="shared" si="21"/>
        <v>Нет</v>
      </c>
      <c r="AG70" s="8">
        <f t="shared" si="22"/>
        <v>-3510.5600000000004</v>
      </c>
    </row>
    <row r="71" spans="1:33" x14ac:dyDescent="0.25">
      <c r="A71" s="2" t="s">
        <v>656</v>
      </c>
      <c r="B71" s="12">
        <v>3</v>
      </c>
      <c r="C71" s="2" t="s">
        <v>737</v>
      </c>
      <c r="D71" s="2" t="s">
        <v>736</v>
      </c>
      <c r="E71" s="18">
        <f>0</f>
        <v>0</v>
      </c>
      <c r="F71" s="18">
        <f>0</f>
        <v>0</v>
      </c>
      <c r="G71" s="18">
        <f>0</f>
        <v>0</v>
      </c>
      <c r="H71" s="18">
        <f>0</f>
        <v>0</v>
      </c>
      <c r="I71" s="18">
        <f>0</f>
        <v>0</v>
      </c>
      <c r="J71" s="18">
        <f>0</f>
        <v>0</v>
      </c>
      <c r="K71" s="18">
        <f>0</f>
        <v>0</v>
      </c>
      <c r="L71" s="18">
        <f t="shared" si="23"/>
        <v>0</v>
      </c>
      <c r="M71" s="18">
        <f t="shared" si="17"/>
        <v>0</v>
      </c>
      <c r="N71" s="18">
        <f t="shared" si="18"/>
        <v>0</v>
      </c>
      <c r="O71" s="18">
        <f>I71*Входы!$C$40</f>
        <v>0</v>
      </c>
      <c r="P71" s="18">
        <f>J71*Входы!$C$80</f>
        <v>0</v>
      </c>
      <c r="Q71" s="18">
        <f>N71*Входы!$C$53/12</f>
        <v>0</v>
      </c>
      <c r="R71" s="8">
        <f>N71*Входы!$C$75</f>
        <v>0</v>
      </c>
      <c r="S71" s="8">
        <f>J71*Входы!$C$77</f>
        <v>0</v>
      </c>
      <c r="T71" s="8">
        <f>Входы!$C$119*Входы!$C$120*Входы!$C$93*Входы!$C$95+Входы!$C$86*Входы!$C$121*(Входы!$C$122*Входы!$C$123+Входы!$C$124*Входы!$C$89)+Входы!$C$86*Входы!$C$125*Входы!$C$90+Входы!$C$126+Входы!$C$127</f>
        <v>138452.4</v>
      </c>
      <c r="U71" s="8">
        <f>0</f>
        <v>0</v>
      </c>
      <c r="V71" s="8">
        <f>0</f>
        <v>0</v>
      </c>
      <c r="W71" s="8">
        <f>0</f>
        <v>0</v>
      </c>
      <c r="X71" s="8">
        <f>I71*Входы!$C$40*Входы!$C$81</f>
        <v>0</v>
      </c>
      <c r="Y71" s="8">
        <f>J71*(Входы!$C$80*Входы!$C$81+Входы!$C$82)</f>
        <v>0</v>
      </c>
      <c r="Z71" s="8">
        <f>J71*Входы!$C$96*Входы!$C$75*12</f>
        <v>0</v>
      </c>
      <c r="AA71" s="8">
        <f>N71*Входы!$C$52</f>
        <v>0</v>
      </c>
      <c r="AB71" s="8">
        <f t="shared" si="19"/>
        <v>138452.4</v>
      </c>
      <c r="AC71" s="8">
        <f t="shared" si="20"/>
        <v>-138452.4</v>
      </c>
      <c r="AD71" s="8">
        <f t="shared" si="24"/>
        <v>-145672.51999999999</v>
      </c>
      <c r="AE71" s="18" t="str">
        <f>""</f>
        <v/>
      </c>
      <c r="AF71" s="24" t="str">
        <f t="shared" si="21"/>
        <v>Нет</v>
      </c>
      <c r="AG71" s="8">
        <f t="shared" si="22"/>
        <v>-138452.4</v>
      </c>
    </row>
    <row r="72" spans="1:33" x14ac:dyDescent="0.25">
      <c r="A72" s="2" t="s">
        <v>656</v>
      </c>
      <c r="B72" s="12">
        <v>4</v>
      </c>
      <c r="C72" s="2" t="s">
        <v>737</v>
      </c>
      <c r="D72" s="2" t="s">
        <v>736</v>
      </c>
      <c r="E72" s="18">
        <f>0</f>
        <v>0</v>
      </c>
      <c r="F72" s="18">
        <f>0</f>
        <v>0</v>
      </c>
      <c r="G72" s="18">
        <f>0</f>
        <v>0</v>
      </c>
      <c r="H72" s="18">
        <f>0</f>
        <v>0</v>
      </c>
      <c r="I72" s="18">
        <f>0</f>
        <v>0</v>
      </c>
      <c r="J72" s="18">
        <f>0</f>
        <v>0</v>
      </c>
      <c r="K72" s="18">
        <f>0</f>
        <v>0</v>
      </c>
      <c r="L72" s="18">
        <f t="shared" si="23"/>
        <v>0</v>
      </c>
      <c r="M72" s="18">
        <f t="shared" si="17"/>
        <v>0</v>
      </c>
      <c r="N72" s="18">
        <f t="shared" si="18"/>
        <v>0</v>
      </c>
      <c r="O72" s="18">
        <f>I72*Входы!$C$40</f>
        <v>0</v>
      </c>
      <c r="P72" s="18">
        <f>J72*Входы!$C$80</f>
        <v>0</v>
      </c>
      <c r="Q72" s="18">
        <f>N72*Входы!$C$53/12</f>
        <v>0</v>
      </c>
      <c r="R72" s="8">
        <f>N72*Входы!$C$75</f>
        <v>0</v>
      </c>
      <c r="S72" s="8">
        <f>J72*Входы!$C$77</f>
        <v>0</v>
      </c>
      <c r="T72" s="8">
        <f>Входы!$C$119*Входы!$C$120*Входы!$C$93*Входы!$C$95+Входы!$C$86*Входы!$C$121*(Входы!$C$122*Входы!$C$123+Входы!$C$124*Входы!$C$89)+Входы!$C$86*Входы!$C$125*Входы!$C$90+Входы!$C$126+Входы!$C$127</f>
        <v>138452.4</v>
      </c>
      <c r="U72" s="8">
        <f>0</f>
        <v>0</v>
      </c>
      <c r="V72" s="8">
        <f>0</f>
        <v>0</v>
      </c>
      <c r="W72" s="8">
        <f>0</f>
        <v>0</v>
      </c>
      <c r="X72" s="8">
        <f>I72*Входы!$C$40*Входы!$C$81</f>
        <v>0</v>
      </c>
      <c r="Y72" s="8">
        <f>J72*(Входы!$C$80*Входы!$C$81+Входы!$C$82)</f>
        <v>0</v>
      </c>
      <c r="Z72" s="8">
        <f>J72*Входы!$C$96*Входы!$C$75*12</f>
        <v>0</v>
      </c>
      <c r="AA72" s="8">
        <f>N72*Входы!$C$52</f>
        <v>0</v>
      </c>
      <c r="AB72" s="8">
        <f t="shared" si="19"/>
        <v>138452.4</v>
      </c>
      <c r="AC72" s="8">
        <f t="shared" si="20"/>
        <v>-138452.4</v>
      </c>
      <c r="AD72" s="8">
        <f t="shared" si="24"/>
        <v>-284124.92</v>
      </c>
      <c r="AE72" s="18" t="str">
        <f>""</f>
        <v/>
      </c>
      <c r="AF72" s="24" t="str">
        <f t="shared" si="21"/>
        <v>Нет</v>
      </c>
      <c r="AG72" s="8">
        <f t="shared" si="22"/>
        <v>-138452.4</v>
      </c>
    </row>
    <row r="73" spans="1:33" ht="25.5" x14ac:dyDescent="0.25">
      <c r="A73" s="2" t="s">
        <v>656</v>
      </c>
      <c r="B73" s="12">
        <v>5</v>
      </c>
      <c r="C73" s="2" t="s">
        <v>701</v>
      </c>
      <c r="D73" s="2" t="s">
        <v>738</v>
      </c>
      <c r="E73" s="18">
        <f>Входы!$C$97</f>
        <v>20</v>
      </c>
      <c r="F73" s="18">
        <f>E73*Входы!$C$98/Входы!$C$97</f>
        <v>6</v>
      </c>
      <c r="G73" s="18">
        <f>F73*Входы!$C$99/Входы!$C$98</f>
        <v>3</v>
      </c>
      <c r="H73" s="18">
        <f>Входы!$C$26/12/Входы!$C$40</f>
        <v>0.5</v>
      </c>
      <c r="I73" s="18">
        <f>MIN(G73,H73,(Входы!$C$29/12/Входы!$C$80)/Входы!$C$41,MAX(0,Входы!$C$32/Входы!$C$55-L73+K73)/Входы!$C$41,MAX(0,Входы!$C$21-L73)/Входы!$C$41,MAX(0,Входы!$C$56-0)/Входы!$C$41,Входы!$C$100/Входы!$C$41)</f>
        <v>0.5</v>
      </c>
      <c r="J73" s="18">
        <f>I73*Входы!$C$41</f>
        <v>0.25</v>
      </c>
      <c r="K73" s="18">
        <f>0</f>
        <v>0</v>
      </c>
      <c r="L73" s="18">
        <f t="shared" si="23"/>
        <v>0</v>
      </c>
      <c r="M73" s="18">
        <f t="shared" si="17"/>
        <v>0.25</v>
      </c>
      <c r="N73" s="18">
        <f t="shared" si="18"/>
        <v>0.125</v>
      </c>
      <c r="O73" s="18">
        <f>I73*Входы!$C$40</f>
        <v>10</v>
      </c>
      <c r="P73" s="18">
        <f>J73*Входы!$C$80</f>
        <v>5</v>
      </c>
      <c r="Q73" s="18">
        <f>N73*Входы!$C$53/12</f>
        <v>0.125</v>
      </c>
      <c r="R73" s="8">
        <f>N73*Входы!$C$75</f>
        <v>3125</v>
      </c>
      <c r="S73" s="8">
        <f>J73*Входы!$C$77</f>
        <v>20000</v>
      </c>
      <c r="T73" s="8">
        <f>0+Входы!$C$86*Входы!$C$132*(Входы!$C$133*Входы!$C$134+Входы!$C$135*Входы!$C$89)+Входы!$C$86*Входы!$C$136*Входы!$C$90+Входы!$C$137+Входы!$C$138</f>
        <v>14168.8</v>
      </c>
      <c r="U73" s="8">
        <f>0</f>
        <v>0</v>
      </c>
      <c r="V73" s="8">
        <f>Входы!$C$141</f>
        <v>10000</v>
      </c>
      <c r="W73" s="8">
        <f>IF(L73&gt;=Входы!$C$50,Входы!$C$51,0)</f>
        <v>0</v>
      </c>
      <c r="X73" s="8">
        <f>I73*Входы!$C$40*Входы!$C$81</f>
        <v>25000</v>
      </c>
      <c r="Y73" s="8">
        <f>J73*(Входы!$C$80*Входы!$C$81+Входы!$C$82)</f>
        <v>16250</v>
      </c>
      <c r="Z73" s="8">
        <f>J73*Входы!$C$96*Входы!$C$75*12</f>
        <v>7500</v>
      </c>
      <c r="AA73" s="8">
        <f>N73*Входы!$C$52</f>
        <v>312.5</v>
      </c>
      <c r="AB73" s="8">
        <f t="shared" si="19"/>
        <v>73231.3</v>
      </c>
      <c r="AC73" s="8">
        <f t="shared" si="20"/>
        <v>-50106.3</v>
      </c>
      <c r="AD73" s="8">
        <f t="shared" si="24"/>
        <v>-334231.21999999997</v>
      </c>
      <c r="AE73" s="18">
        <f>ROUNDUP((T73+U73+V73+W73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3" s="24" t="str">
        <f t="shared" si="21"/>
        <v>Нет</v>
      </c>
      <c r="AG73" s="8">
        <f t="shared" si="22"/>
        <v>-70106.3</v>
      </c>
    </row>
    <row r="74" spans="1:33" ht="25.5" x14ac:dyDescent="0.25">
      <c r="A74" s="2" t="s">
        <v>656</v>
      </c>
      <c r="B74" s="12">
        <v>6</v>
      </c>
      <c r="C74" s="2" t="s">
        <v>701</v>
      </c>
      <c r="D74" s="2" t="s">
        <v>738</v>
      </c>
      <c r="E74" s="18">
        <f>Входы!$C$97</f>
        <v>20</v>
      </c>
      <c r="F74" s="18">
        <f>E74*Входы!$C$98/Входы!$C$97</f>
        <v>6</v>
      </c>
      <c r="G74" s="18">
        <f>F74*Входы!$C$99/Входы!$C$98</f>
        <v>3</v>
      </c>
      <c r="H74" s="18">
        <f>Входы!$C$26/12/Входы!$C$40</f>
        <v>0.5</v>
      </c>
      <c r="I74" s="18">
        <f>MIN(G74,H74,(Входы!$C$29/12/Входы!$C$80)/Входы!$C$41,MAX(0,Входы!$C$32/Входы!$C$55-L74+K74)/Входы!$C$41,MAX(0,Входы!$C$21-L74)/Входы!$C$41,MAX(0,Входы!$C$56-SUM(J73:J73))/Входы!$C$41,Входы!$C$100/Входы!$C$41)</f>
        <v>0.5</v>
      </c>
      <c r="J74" s="18">
        <f>I74*Входы!$C$41</f>
        <v>0.25</v>
      </c>
      <c r="K74" s="18">
        <f>0</f>
        <v>0</v>
      </c>
      <c r="L74" s="18">
        <f t="shared" si="23"/>
        <v>0.25</v>
      </c>
      <c r="M74" s="18">
        <f t="shared" si="17"/>
        <v>0.5</v>
      </c>
      <c r="N74" s="18">
        <f t="shared" si="18"/>
        <v>0.375</v>
      </c>
      <c r="O74" s="18">
        <f>I74*Входы!$C$40</f>
        <v>10</v>
      </c>
      <c r="P74" s="18">
        <f>J74*Входы!$C$80</f>
        <v>5</v>
      </c>
      <c r="Q74" s="18">
        <f>N74*Входы!$C$53/12</f>
        <v>0.375</v>
      </c>
      <c r="R74" s="8">
        <f>N74*Входы!$C$75</f>
        <v>9375</v>
      </c>
      <c r="S74" s="8">
        <f>J74*Входы!$C$77</f>
        <v>20000</v>
      </c>
      <c r="T74" s="8">
        <f>0+Входы!$C$86*Входы!$C$132*(Входы!$C$133*Входы!$C$134+Входы!$C$135*Входы!$C$89)+Входы!$C$86*Входы!$C$136*Входы!$C$90+Входы!$C$137+Входы!$C$138</f>
        <v>14168.8</v>
      </c>
      <c r="U74" s="8">
        <f>0</f>
        <v>0</v>
      </c>
      <c r="V74" s="8">
        <f>Входы!$C$141</f>
        <v>10000</v>
      </c>
      <c r="W74" s="8">
        <f>IF(L74&gt;=Входы!$C$50,Входы!$C$51,0)</f>
        <v>0</v>
      </c>
      <c r="X74" s="8">
        <f>I74*Входы!$C$40*Входы!$C$81</f>
        <v>25000</v>
      </c>
      <c r="Y74" s="8">
        <f>J74*(Входы!$C$80*Входы!$C$81+Входы!$C$82)</f>
        <v>16250</v>
      </c>
      <c r="Z74" s="8">
        <f>J74*Входы!$C$96*Входы!$C$75*12</f>
        <v>7500</v>
      </c>
      <c r="AA74" s="8">
        <f>N74*Входы!$C$52</f>
        <v>937.5</v>
      </c>
      <c r="AB74" s="8">
        <f t="shared" si="19"/>
        <v>73856.3</v>
      </c>
      <c r="AC74" s="8">
        <f t="shared" si="20"/>
        <v>-44481.3</v>
      </c>
      <c r="AD74" s="8">
        <f t="shared" si="24"/>
        <v>-378712.51999999996</v>
      </c>
      <c r="AE74" s="18">
        <f>ROUNDUP((T74+U74+V74+W74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4" s="24" t="str">
        <f t="shared" si="21"/>
        <v>Нет</v>
      </c>
      <c r="AG74" s="8">
        <f t="shared" si="22"/>
        <v>-64481.3</v>
      </c>
    </row>
    <row r="75" spans="1:33" ht="25.5" x14ac:dyDescent="0.25">
      <c r="A75" s="2" t="s">
        <v>656</v>
      </c>
      <c r="B75" s="12">
        <v>7</v>
      </c>
      <c r="C75" s="2" t="s">
        <v>701</v>
      </c>
      <c r="D75" s="2" t="s">
        <v>738</v>
      </c>
      <c r="E75" s="18">
        <f>Входы!$C$97</f>
        <v>20</v>
      </c>
      <c r="F75" s="18">
        <f>E75*Входы!$C$98/Входы!$C$97</f>
        <v>6</v>
      </c>
      <c r="G75" s="18">
        <f>F75*Входы!$C$99/Входы!$C$98</f>
        <v>3</v>
      </c>
      <c r="H75" s="18">
        <f>Входы!$C$26/12/Входы!$C$40</f>
        <v>0.5</v>
      </c>
      <c r="I75" s="18">
        <f>MIN(G75,H75,(Входы!$C$29/12/Входы!$C$80)/Входы!$C$41,MAX(0,Входы!$C$32/Входы!$C$55-L75+K75)/Входы!$C$41,MAX(0,Входы!$C$21-L75)/Входы!$C$41,MAX(0,Входы!$C$56-SUM(J73:J74))/Входы!$C$41,Входы!$C$100/Входы!$C$41)</f>
        <v>0.5</v>
      </c>
      <c r="J75" s="18">
        <f>I75*Входы!$C$41</f>
        <v>0.25</v>
      </c>
      <c r="K75" s="18">
        <f>0</f>
        <v>0</v>
      </c>
      <c r="L75" s="18">
        <f t="shared" si="23"/>
        <v>0.5</v>
      </c>
      <c r="M75" s="18">
        <f t="shared" si="17"/>
        <v>0.75</v>
      </c>
      <c r="N75" s="18">
        <f t="shared" si="18"/>
        <v>0.625</v>
      </c>
      <c r="O75" s="18">
        <f>I75*Входы!$C$40</f>
        <v>10</v>
      </c>
      <c r="P75" s="18">
        <f>J75*Входы!$C$80</f>
        <v>5</v>
      </c>
      <c r="Q75" s="18">
        <f>N75*Входы!$C$53/12</f>
        <v>0.625</v>
      </c>
      <c r="R75" s="8">
        <f>N75*Входы!$C$75</f>
        <v>15625</v>
      </c>
      <c r="S75" s="8">
        <f>J75*Входы!$C$77</f>
        <v>20000</v>
      </c>
      <c r="T75" s="8">
        <f>0+Входы!$C$86*Входы!$C$132*(Входы!$C$133*Входы!$C$134+Входы!$C$135*Входы!$C$89)+Входы!$C$86*Входы!$C$136*Входы!$C$90+Входы!$C$137+Входы!$C$138</f>
        <v>14168.8</v>
      </c>
      <c r="U75" s="8">
        <f>0</f>
        <v>0</v>
      </c>
      <c r="V75" s="8">
        <f>Входы!$C$141</f>
        <v>10000</v>
      </c>
      <c r="W75" s="8">
        <f>IF(L75&gt;=Входы!$C$50,Входы!$C$51,0)</f>
        <v>0</v>
      </c>
      <c r="X75" s="8">
        <f>I75*Входы!$C$40*Входы!$C$81</f>
        <v>25000</v>
      </c>
      <c r="Y75" s="8">
        <f>J75*(Входы!$C$80*Входы!$C$81+Входы!$C$82)</f>
        <v>16250</v>
      </c>
      <c r="Z75" s="8">
        <f>J75*Входы!$C$96*Входы!$C$75*12</f>
        <v>7500</v>
      </c>
      <c r="AA75" s="8">
        <f>N75*Входы!$C$52</f>
        <v>1562.5</v>
      </c>
      <c r="AB75" s="8">
        <f t="shared" si="19"/>
        <v>74481.3</v>
      </c>
      <c r="AC75" s="8">
        <f t="shared" si="20"/>
        <v>-38856.300000000003</v>
      </c>
      <c r="AD75" s="8">
        <f t="shared" si="24"/>
        <v>-417568.81999999995</v>
      </c>
      <c r="AE75" s="18">
        <f>ROUNDUP((T75+U75+V75+W75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5" s="24" t="str">
        <f t="shared" si="21"/>
        <v>Нет</v>
      </c>
      <c r="AG75" s="8">
        <f t="shared" si="22"/>
        <v>-58856.3</v>
      </c>
    </row>
    <row r="76" spans="1:33" ht="25.5" x14ac:dyDescent="0.25">
      <c r="A76" s="2" t="s">
        <v>656</v>
      </c>
      <c r="B76" s="12">
        <v>8</v>
      </c>
      <c r="C76" s="2" t="s">
        <v>701</v>
      </c>
      <c r="D76" s="2" t="s">
        <v>738</v>
      </c>
      <c r="E76" s="18">
        <f>Входы!$C$97</f>
        <v>20</v>
      </c>
      <c r="F76" s="18">
        <f>E76*Входы!$C$98/Входы!$C$97</f>
        <v>6</v>
      </c>
      <c r="G76" s="18">
        <f>F76*Входы!$C$99/Входы!$C$98</f>
        <v>3</v>
      </c>
      <c r="H76" s="18">
        <f>Входы!$C$26/12/Входы!$C$40</f>
        <v>0.5</v>
      </c>
      <c r="I76" s="18">
        <f>MIN(G76,H76,(Входы!$C$29/12/Входы!$C$80)/Входы!$C$41,MAX(0,Входы!$C$32/Входы!$C$55-L76+K76)/Входы!$C$41,MAX(0,Входы!$C$21-L76)/Входы!$C$41,MAX(0,Входы!$C$56-SUM(J73:J75))/Входы!$C$41,Входы!$C$100/Входы!$C$41)</f>
        <v>0.5</v>
      </c>
      <c r="J76" s="18">
        <f>I76*Входы!$C$41</f>
        <v>0.25</v>
      </c>
      <c r="K76" s="18">
        <f>0</f>
        <v>0</v>
      </c>
      <c r="L76" s="18">
        <f t="shared" si="23"/>
        <v>0.75</v>
      </c>
      <c r="M76" s="18">
        <f t="shared" si="17"/>
        <v>1</v>
      </c>
      <c r="N76" s="18">
        <f t="shared" si="18"/>
        <v>0.875</v>
      </c>
      <c r="O76" s="18">
        <f>I76*Входы!$C$40</f>
        <v>10</v>
      </c>
      <c r="P76" s="18">
        <f>J76*Входы!$C$80</f>
        <v>5</v>
      </c>
      <c r="Q76" s="18">
        <f>N76*Входы!$C$53/12</f>
        <v>0.875</v>
      </c>
      <c r="R76" s="8">
        <f>N76*Входы!$C$75</f>
        <v>21875</v>
      </c>
      <c r="S76" s="8">
        <f>J76*Входы!$C$77</f>
        <v>20000</v>
      </c>
      <c r="T76" s="8">
        <f>0+Входы!$C$86*Входы!$C$132*(Входы!$C$133*Входы!$C$134+Входы!$C$135*Входы!$C$89)+Входы!$C$86*Входы!$C$136*Входы!$C$90+Входы!$C$137+Входы!$C$138</f>
        <v>14168.8</v>
      </c>
      <c r="U76" s="8">
        <f>0</f>
        <v>0</v>
      </c>
      <c r="V76" s="8">
        <f>Входы!$C$141</f>
        <v>10000</v>
      </c>
      <c r="W76" s="8">
        <f>IF(L76&gt;=Входы!$C$50,Входы!$C$51,0)</f>
        <v>0</v>
      </c>
      <c r="X76" s="8">
        <f>I76*Входы!$C$40*Входы!$C$81</f>
        <v>25000</v>
      </c>
      <c r="Y76" s="8">
        <f>J76*(Входы!$C$80*Входы!$C$81+Входы!$C$82)</f>
        <v>16250</v>
      </c>
      <c r="Z76" s="8">
        <f>J76*Входы!$C$96*Входы!$C$75*12</f>
        <v>7500</v>
      </c>
      <c r="AA76" s="8">
        <f>N76*Входы!$C$52</f>
        <v>2187.5</v>
      </c>
      <c r="AB76" s="8">
        <f t="shared" si="19"/>
        <v>75106.3</v>
      </c>
      <c r="AC76" s="8">
        <f t="shared" si="20"/>
        <v>-33231.300000000003</v>
      </c>
      <c r="AD76" s="8">
        <f t="shared" si="24"/>
        <v>-450800.11999999994</v>
      </c>
      <c r="AE76" s="18">
        <f>ROUNDUP((T76+U76+V76+W76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6" s="24" t="str">
        <f t="shared" si="21"/>
        <v>Нет</v>
      </c>
      <c r="AG76" s="8">
        <f t="shared" si="22"/>
        <v>-53231.3</v>
      </c>
    </row>
    <row r="77" spans="1:33" ht="25.5" x14ac:dyDescent="0.25">
      <c r="A77" s="2" t="s">
        <v>656</v>
      </c>
      <c r="B77" s="12">
        <v>9</v>
      </c>
      <c r="C77" s="2" t="s">
        <v>701</v>
      </c>
      <c r="D77" s="2" t="s">
        <v>738</v>
      </c>
      <c r="E77" s="18">
        <f>Входы!$C$97</f>
        <v>20</v>
      </c>
      <c r="F77" s="18">
        <f>E77*Входы!$C$98/Входы!$C$97</f>
        <v>6</v>
      </c>
      <c r="G77" s="18">
        <f>F77*Входы!$C$99/Входы!$C$98</f>
        <v>3</v>
      </c>
      <c r="H77" s="18">
        <f>Входы!$C$26/12/Входы!$C$40</f>
        <v>0.5</v>
      </c>
      <c r="I77" s="18">
        <f>MIN(G77,H77,(Входы!$C$29/12/Входы!$C$80)/Входы!$C$41,MAX(0,Входы!$C$32/Входы!$C$55-L77+K77)/Входы!$C$41,MAX(0,Входы!$C$21-L77)/Входы!$C$41,MAX(0,Входы!$C$56-SUM(J73:J76))/Входы!$C$41,Входы!$C$100/Входы!$C$41)</f>
        <v>0.5</v>
      </c>
      <c r="J77" s="18">
        <f>I77*Входы!$C$41</f>
        <v>0.25</v>
      </c>
      <c r="K77" s="18">
        <f>0</f>
        <v>0</v>
      </c>
      <c r="L77" s="18">
        <f t="shared" si="23"/>
        <v>1</v>
      </c>
      <c r="M77" s="18">
        <f t="shared" si="17"/>
        <v>1.25</v>
      </c>
      <c r="N77" s="18">
        <f t="shared" si="18"/>
        <v>1.125</v>
      </c>
      <c r="O77" s="18">
        <f>I77*Входы!$C$40</f>
        <v>10</v>
      </c>
      <c r="P77" s="18">
        <f>J77*Входы!$C$80</f>
        <v>5</v>
      </c>
      <c r="Q77" s="18">
        <f>N77*Входы!$C$53/12</f>
        <v>1.125</v>
      </c>
      <c r="R77" s="8">
        <f>N77*Входы!$C$75</f>
        <v>28125</v>
      </c>
      <c r="S77" s="8">
        <f>J77*Входы!$C$77</f>
        <v>20000</v>
      </c>
      <c r="T77" s="8">
        <f>0+Входы!$C$86*Входы!$C$132*(Входы!$C$133*Входы!$C$134+Входы!$C$135*Входы!$C$89)+Входы!$C$86*Входы!$C$136*Входы!$C$90+Входы!$C$137+Входы!$C$138</f>
        <v>14168.8</v>
      </c>
      <c r="U77" s="8">
        <f>0</f>
        <v>0</v>
      </c>
      <c r="V77" s="8">
        <f>Входы!$C$141</f>
        <v>10000</v>
      </c>
      <c r="W77" s="8">
        <f>IF(L77&gt;=Входы!$C$50,Входы!$C$51,0)</f>
        <v>0</v>
      </c>
      <c r="X77" s="8">
        <f>I77*Входы!$C$40*Входы!$C$81</f>
        <v>25000</v>
      </c>
      <c r="Y77" s="8">
        <f>J77*(Входы!$C$80*Входы!$C$81+Входы!$C$82)</f>
        <v>16250</v>
      </c>
      <c r="Z77" s="8">
        <f>J77*Входы!$C$96*Входы!$C$75*12</f>
        <v>7500</v>
      </c>
      <c r="AA77" s="8">
        <f>N77*Входы!$C$52</f>
        <v>2812.5</v>
      </c>
      <c r="AB77" s="8">
        <f t="shared" si="19"/>
        <v>75731.3</v>
      </c>
      <c r="AC77" s="8">
        <f t="shared" si="20"/>
        <v>-27606.300000000003</v>
      </c>
      <c r="AD77" s="8">
        <f t="shared" si="24"/>
        <v>-478406.41999999993</v>
      </c>
      <c r="AE77" s="18">
        <f>ROUNDUP((T77+U77+V77+W77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7" s="24" t="str">
        <f t="shared" si="21"/>
        <v>Нет</v>
      </c>
      <c r="AG77" s="8">
        <f t="shared" si="22"/>
        <v>-47606.3</v>
      </c>
    </row>
    <row r="78" spans="1:33" ht="25.5" x14ac:dyDescent="0.25">
      <c r="A78" s="2" t="s">
        <v>656</v>
      </c>
      <c r="B78" s="12">
        <v>10</v>
      </c>
      <c r="C78" s="2" t="s">
        <v>701</v>
      </c>
      <c r="D78" s="2" t="s">
        <v>738</v>
      </c>
      <c r="E78" s="18">
        <f>Входы!$C$97</f>
        <v>20</v>
      </c>
      <c r="F78" s="18">
        <f>E78*Входы!$C$98/Входы!$C$97</f>
        <v>6</v>
      </c>
      <c r="G78" s="18">
        <f>F78*Входы!$C$99/Входы!$C$98</f>
        <v>3</v>
      </c>
      <c r="H78" s="18">
        <f>Входы!$C$26/12/Входы!$C$40</f>
        <v>0.5</v>
      </c>
      <c r="I78" s="18">
        <f>MIN(G78,H78,(Входы!$C$29/12/Входы!$C$80)/Входы!$C$41,MAX(0,Входы!$C$32/Входы!$C$55-L78+K78)/Входы!$C$41,MAX(0,Входы!$C$21-L78)/Входы!$C$41,MAX(0,Входы!$C$56-SUM(J73:J77))/Входы!$C$41,Входы!$C$100/Входы!$C$41)</f>
        <v>0.5</v>
      </c>
      <c r="J78" s="18">
        <f>I78*Входы!$C$41</f>
        <v>0.25</v>
      </c>
      <c r="K78" s="18">
        <f>0</f>
        <v>0</v>
      </c>
      <c r="L78" s="18">
        <f t="shared" si="23"/>
        <v>1.25</v>
      </c>
      <c r="M78" s="18">
        <f t="shared" si="17"/>
        <v>1.5</v>
      </c>
      <c r="N78" s="18">
        <f t="shared" si="18"/>
        <v>1.375</v>
      </c>
      <c r="O78" s="18">
        <f>I78*Входы!$C$40</f>
        <v>10</v>
      </c>
      <c r="P78" s="18">
        <f>J78*Входы!$C$80</f>
        <v>5</v>
      </c>
      <c r="Q78" s="18">
        <f>N78*Входы!$C$53/12</f>
        <v>1.375</v>
      </c>
      <c r="R78" s="8">
        <f>N78*Входы!$C$75</f>
        <v>34375</v>
      </c>
      <c r="S78" s="8">
        <f>J78*Входы!$C$77</f>
        <v>20000</v>
      </c>
      <c r="T78" s="8">
        <f>0+Входы!$C$86*Входы!$C$132*(Входы!$C$133*Входы!$C$134+Входы!$C$135*Входы!$C$89)+Входы!$C$86*Входы!$C$136*Входы!$C$90+Входы!$C$137+Входы!$C$138</f>
        <v>14168.8</v>
      </c>
      <c r="U78" s="8">
        <f>0</f>
        <v>0</v>
      </c>
      <c r="V78" s="8">
        <f>Входы!$C$141</f>
        <v>10000</v>
      </c>
      <c r="W78" s="8">
        <f>IF(L78&gt;=Входы!$C$50,Входы!$C$51,0)</f>
        <v>0</v>
      </c>
      <c r="X78" s="8">
        <f>I78*Входы!$C$40*Входы!$C$81</f>
        <v>25000</v>
      </c>
      <c r="Y78" s="8">
        <f>J78*(Входы!$C$80*Входы!$C$81+Входы!$C$82)</f>
        <v>16250</v>
      </c>
      <c r="Z78" s="8">
        <f>J78*Входы!$C$96*Входы!$C$75*12</f>
        <v>7500</v>
      </c>
      <c r="AA78" s="8">
        <f>N78*Входы!$C$52</f>
        <v>3437.5</v>
      </c>
      <c r="AB78" s="8">
        <f t="shared" si="19"/>
        <v>76356.3</v>
      </c>
      <c r="AC78" s="8">
        <f t="shared" si="20"/>
        <v>-21981.300000000003</v>
      </c>
      <c r="AD78" s="8">
        <f t="shared" si="24"/>
        <v>-500387.71999999991</v>
      </c>
      <c r="AE78" s="18">
        <f>ROUNDUP((T78+U78+V78+W78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8" s="24" t="str">
        <f t="shared" si="21"/>
        <v>Нет</v>
      </c>
      <c r="AG78" s="8">
        <f t="shared" si="22"/>
        <v>-41981.3</v>
      </c>
    </row>
    <row r="79" spans="1:33" ht="25.5" x14ac:dyDescent="0.25">
      <c r="A79" s="2" t="s">
        <v>656</v>
      </c>
      <c r="B79" s="12">
        <v>11</v>
      </c>
      <c r="C79" s="2" t="s">
        <v>701</v>
      </c>
      <c r="D79" s="2" t="s">
        <v>738</v>
      </c>
      <c r="E79" s="18">
        <f>Входы!$C$97</f>
        <v>20</v>
      </c>
      <c r="F79" s="18">
        <f>E79*Входы!$C$98/Входы!$C$97</f>
        <v>6</v>
      </c>
      <c r="G79" s="18">
        <f>F79*Входы!$C$99/Входы!$C$98</f>
        <v>3</v>
      </c>
      <c r="H79" s="18">
        <f>Входы!$C$26/12/Входы!$C$40</f>
        <v>0.5</v>
      </c>
      <c r="I79" s="18">
        <f>MIN(G79,H79,(Входы!$C$29/12/Входы!$C$80)/Входы!$C$41,MAX(0,Входы!$C$32/Входы!$C$55-L79+K79)/Входы!$C$41,MAX(0,Входы!$C$21-L79)/Входы!$C$41,MAX(0,Входы!$C$56-SUM(J73:J78))/Входы!$C$41,Входы!$C$100/Входы!$C$41)</f>
        <v>0.5</v>
      </c>
      <c r="J79" s="18">
        <f>I79*Входы!$C$41</f>
        <v>0.25</v>
      </c>
      <c r="K79" s="18">
        <f>0</f>
        <v>0</v>
      </c>
      <c r="L79" s="18">
        <f t="shared" si="23"/>
        <v>1.5</v>
      </c>
      <c r="M79" s="18">
        <f t="shared" si="17"/>
        <v>1.75</v>
      </c>
      <c r="N79" s="18">
        <f t="shared" si="18"/>
        <v>1.625</v>
      </c>
      <c r="O79" s="18">
        <f>I79*Входы!$C$40</f>
        <v>10</v>
      </c>
      <c r="P79" s="18">
        <f>J79*Входы!$C$80</f>
        <v>5</v>
      </c>
      <c r="Q79" s="18">
        <f>N79*Входы!$C$53/12</f>
        <v>1.625</v>
      </c>
      <c r="R79" s="8">
        <f>N79*Входы!$C$75</f>
        <v>40625</v>
      </c>
      <c r="S79" s="8">
        <f>J79*Входы!$C$77</f>
        <v>20000</v>
      </c>
      <c r="T79" s="8">
        <f>0+Входы!$C$86*Входы!$C$132*(Входы!$C$133*Входы!$C$134+Входы!$C$135*Входы!$C$89)+Входы!$C$86*Входы!$C$136*Входы!$C$90+Входы!$C$137+Входы!$C$138</f>
        <v>14168.8</v>
      </c>
      <c r="U79" s="8">
        <f>0</f>
        <v>0</v>
      </c>
      <c r="V79" s="8">
        <f>Входы!$C$141</f>
        <v>10000</v>
      </c>
      <c r="W79" s="8">
        <f>IF(L79&gt;=Входы!$C$50,Входы!$C$51,0)</f>
        <v>0</v>
      </c>
      <c r="X79" s="8">
        <f>I79*Входы!$C$40*Входы!$C$81</f>
        <v>25000</v>
      </c>
      <c r="Y79" s="8">
        <f>J79*(Входы!$C$80*Входы!$C$81+Входы!$C$82)</f>
        <v>16250</v>
      </c>
      <c r="Z79" s="8">
        <f>J79*Входы!$C$96*Входы!$C$75*12</f>
        <v>7500</v>
      </c>
      <c r="AA79" s="8">
        <f>N79*Входы!$C$52</f>
        <v>4062.5</v>
      </c>
      <c r="AB79" s="8">
        <f t="shared" si="19"/>
        <v>76981.3</v>
      </c>
      <c r="AC79" s="8">
        <f t="shared" si="20"/>
        <v>-16356.300000000003</v>
      </c>
      <c r="AD79" s="8">
        <f t="shared" si="24"/>
        <v>-516744.0199999999</v>
      </c>
      <c r="AE79" s="18">
        <f>ROUNDUP((T79+U79+V79+W79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79" s="24" t="str">
        <f t="shared" si="21"/>
        <v>Нет</v>
      </c>
      <c r="AG79" s="8">
        <f t="shared" si="22"/>
        <v>-36356.300000000003</v>
      </c>
    </row>
    <row r="80" spans="1:33" ht="25.5" x14ac:dyDescent="0.25">
      <c r="A80" s="2" t="s">
        <v>656</v>
      </c>
      <c r="B80" s="12">
        <v>12</v>
      </c>
      <c r="C80" s="2" t="s">
        <v>701</v>
      </c>
      <c r="D80" s="2" t="s">
        <v>738</v>
      </c>
      <c r="E80" s="18">
        <f>Входы!$C$97</f>
        <v>20</v>
      </c>
      <c r="F80" s="18">
        <f>E80*Входы!$C$98/Входы!$C$97</f>
        <v>6</v>
      </c>
      <c r="G80" s="18">
        <f>F80*Входы!$C$99/Входы!$C$98</f>
        <v>3</v>
      </c>
      <c r="H80" s="18">
        <f>Входы!$C$26/12/Входы!$C$40</f>
        <v>0.5</v>
      </c>
      <c r="I80" s="18">
        <f>MIN(G80,H80,(Входы!$C$29/12/Входы!$C$80)/Входы!$C$41,MAX(0,Входы!$C$32/Входы!$C$55-L80+K80)/Входы!$C$41,MAX(0,Входы!$C$21-L80)/Входы!$C$41,MAX(0,Входы!$C$56-SUM(J73:J79))/Входы!$C$41,Входы!$C$100/Входы!$C$41)</f>
        <v>0.5</v>
      </c>
      <c r="J80" s="18">
        <f>I80*Входы!$C$41</f>
        <v>0.25</v>
      </c>
      <c r="K80" s="18">
        <f>0</f>
        <v>0</v>
      </c>
      <c r="L80" s="18">
        <f t="shared" si="23"/>
        <v>1.75</v>
      </c>
      <c r="M80" s="18">
        <f t="shared" si="17"/>
        <v>2</v>
      </c>
      <c r="N80" s="18">
        <f t="shared" si="18"/>
        <v>1.875</v>
      </c>
      <c r="O80" s="18">
        <f>I80*Входы!$C$40</f>
        <v>10</v>
      </c>
      <c r="P80" s="18">
        <f>J80*Входы!$C$80</f>
        <v>5</v>
      </c>
      <c r="Q80" s="18">
        <f>N80*Входы!$C$53/12</f>
        <v>1.875</v>
      </c>
      <c r="R80" s="8">
        <f>N80*Входы!$C$75</f>
        <v>46875</v>
      </c>
      <c r="S80" s="8">
        <f>J80*Входы!$C$77</f>
        <v>20000</v>
      </c>
      <c r="T80" s="8">
        <f>0+Входы!$C$86*Входы!$C$132*(Входы!$C$133*Входы!$C$134+Входы!$C$135*Входы!$C$89)+Входы!$C$86*Входы!$C$136*Входы!$C$90+Входы!$C$137+Входы!$C$138</f>
        <v>14168.8</v>
      </c>
      <c r="U80" s="8">
        <f>0</f>
        <v>0</v>
      </c>
      <c r="V80" s="8">
        <f>Входы!$C$141</f>
        <v>10000</v>
      </c>
      <c r="W80" s="8">
        <f>IF(L80&gt;=Входы!$C$50,Входы!$C$51,0)</f>
        <v>0</v>
      </c>
      <c r="X80" s="8">
        <f>I80*Входы!$C$40*Входы!$C$81</f>
        <v>25000</v>
      </c>
      <c r="Y80" s="8">
        <f>J80*(Входы!$C$80*Входы!$C$81+Входы!$C$82)</f>
        <v>16250</v>
      </c>
      <c r="Z80" s="8">
        <f>J80*Входы!$C$96*Входы!$C$75*12</f>
        <v>7500</v>
      </c>
      <c r="AA80" s="8">
        <f>N80*Входы!$C$52</f>
        <v>4687.5</v>
      </c>
      <c r="AB80" s="8">
        <f t="shared" si="19"/>
        <v>77606.3</v>
      </c>
      <c r="AC80" s="8">
        <f t="shared" si="20"/>
        <v>-10731.300000000003</v>
      </c>
      <c r="AD80" s="8">
        <f t="shared" si="24"/>
        <v>-527475.31999999995</v>
      </c>
      <c r="AE80" s="18">
        <f>ROUNDUP((T80+U80+V80+W80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80" s="24" t="str">
        <f t="shared" si="21"/>
        <v>Нет</v>
      </c>
      <c r="AG80" s="8">
        <f t="shared" si="22"/>
        <v>-30731.300000000003</v>
      </c>
    </row>
    <row r="81" spans="1:33" ht="25.5" x14ac:dyDescent="0.25">
      <c r="A81" s="2" t="s">
        <v>656</v>
      </c>
      <c r="B81" s="12">
        <v>13</v>
      </c>
      <c r="C81" s="2" t="s">
        <v>701</v>
      </c>
      <c r="D81" s="2" t="s">
        <v>738</v>
      </c>
      <c r="E81" s="18">
        <f>Входы!$C$97</f>
        <v>20</v>
      </c>
      <c r="F81" s="18">
        <f>E81*Входы!$C$98/Входы!$C$97</f>
        <v>6</v>
      </c>
      <c r="G81" s="18">
        <f>F81*Входы!$C$99/Входы!$C$98</f>
        <v>3</v>
      </c>
      <c r="H81" s="18">
        <f>Входы!$C$26/12/Входы!$C$40</f>
        <v>0.5</v>
      </c>
      <c r="I81" s="18">
        <f>MIN(G81,H81,(Входы!$C$29/12/Входы!$C$80)/Входы!$C$41,MAX(0,Входы!$C$32/Входы!$C$55-L81+K81)/Входы!$C$41,MAX(0,Входы!$C$21-L81)/Входы!$C$41,MAX(0,Входы!$C$56-SUM(J73:J80))/Входы!$C$41,Входы!$C$100/Входы!$C$41)</f>
        <v>0.5</v>
      </c>
      <c r="J81" s="18">
        <f>I81*Входы!$C$41</f>
        <v>0.25</v>
      </c>
      <c r="K81" s="18">
        <f>0</f>
        <v>0</v>
      </c>
      <c r="L81" s="18">
        <f t="shared" si="23"/>
        <v>2</v>
      </c>
      <c r="M81" s="18">
        <f t="shared" si="17"/>
        <v>2.25</v>
      </c>
      <c r="N81" s="18">
        <f t="shared" si="18"/>
        <v>2.125</v>
      </c>
      <c r="O81" s="18">
        <f>I81*Входы!$C$40</f>
        <v>10</v>
      </c>
      <c r="P81" s="18">
        <f>J81*Входы!$C$80</f>
        <v>5</v>
      </c>
      <c r="Q81" s="18">
        <f>N81*Входы!$C$53/12</f>
        <v>2.125</v>
      </c>
      <c r="R81" s="8">
        <f>N81*Входы!$C$75</f>
        <v>53125</v>
      </c>
      <c r="S81" s="8">
        <f>J81*Входы!$C$77</f>
        <v>20000</v>
      </c>
      <c r="T81" s="8">
        <f>0+Входы!$C$86*Входы!$C$132*(Входы!$C$133*Входы!$C$134+Входы!$C$135*Входы!$C$89)+Входы!$C$86*Входы!$C$136*Входы!$C$90+Входы!$C$137+Входы!$C$138</f>
        <v>14168.8</v>
      </c>
      <c r="U81" s="8">
        <f>0</f>
        <v>0</v>
      </c>
      <c r="V81" s="8">
        <f>Входы!$C$141</f>
        <v>10000</v>
      </c>
      <c r="W81" s="8">
        <f>IF(L81&gt;=Входы!$C$50,Входы!$C$51,0)</f>
        <v>0</v>
      </c>
      <c r="X81" s="8">
        <f>I81*Входы!$C$40*Входы!$C$81</f>
        <v>25000</v>
      </c>
      <c r="Y81" s="8">
        <f>J81*(Входы!$C$80*Входы!$C$81+Входы!$C$82)</f>
        <v>16250</v>
      </c>
      <c r="Z81" s="8">
        <f>J81*Входы!$C$96*Входы!$C$75*12</f>
        <v>7500</v>
      </c>
      <c r="AA81" s="8">
        <f>N81*Входы!$C$52</f>
        <v>5312.5</v>
      </c>
      <c r="AB81" s="8">
        <f t="shared" si="19"/>
        <v>78231.3</v>
      </c>
      <c r="AC81" s="8">
        <f t="shared" si="20"/>
        <v>-5106.3000000000029</v>
      </c>
      <c r="AD81" s="8">
        <f t="shared" si="24"/>
        <v>-532581.62</v>
      </c>
      <c r="AE81" s="18">
        <f>ROUNDUP((T81+U81+V81+W81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81" s="24" t="str">
        <f t="shared" si="21"/>
        <v>Нет</v>
      </c>
      <c r="AG81" s="8">
        <f t="shared" si="22"/>
        <v>-25106.300000000003</v>
      </c>
    </row>
    <row r="82" spans="1:33" ht="25.5" x14ac:dyDescent="0.25">
      <c r="A82" s="2" t="s">
        <v>656</v>
      </c>
      <c r="B82" s="12">
        <v>14</v>
      </c>
      <c r="C82" s="2" t="s">
        <v>701</v>
      </c>
      <c r="D82" s="2" t="s">
        <v>738</v>
      </c>
      <c r="E82" s="18">
        <f>Входы!$C$97</f>
        <v>20</v>
      </c>
      <c r="F82" s="18">
        <f>E82*Входы!$C$98/Входы!$C$97</f>
        <v>6</v>
      </c>
      <c r="G82" s="18">
        <f>F82*Входы!$C$99/Входы!$C$98</f>
        <v>3</v>
      </c>
      <c r="H82" s="18">
        <f>Входы!$C$26/12/Входы!$C$40</f>
        <v>0.5</v>
      </c>
      <c r="I82" s="18">
        <f>MIN(G82,H82,(Входы!$C$29/12/Входы!$C$80)/Входы!$C$41,MAX(0,Входы!$C$32/Входы!$C$55-L82+K82)/Входы!$C$41,MAX(0,Входы!$C$21-L82)/Входы!$C$41,MAX(0,Входы!$C$56-SUM(J73:J81))/Входы!$C$41,Входы!$C$100/Входы!$C$41)</f>
        <v>0.5</v>
      </c>
      <c r="J82" s="18">
        <f>I82*Входы!$C$41</f>
        <v>0.25</v>
      </c>
      <c r="K82" s="18">
        <f>0</f>
        <v>0</v>
      </c>
      <c r="L82" s="18">
        <f t="shared" si="23"/>
        <v>2.25</v>
      </c>
      <c r="M82" s="18">
        <f t="shared" si="17"/>
        <v>2.5</v>
      </c>
      <c r="N82" s="18">
        <f t="shared" si="18"/>
        <v>2.375</v>
      </c>
      <c r="O82" s="18">
        <f>I82*Входы!$C$40</f>
        <v>10</v>
      </c>
      <c r="P82" s="18">
        <f>J82*Входы!$C$80</f>
        <v>5</v>
      </c>
      <c r="Q82" s="18">
        <f>N82*Входы!$C$53/12</f>
        <v>2.375</v>
      </c>
      <c r="R82" s="8">
        <f>N82*Входы!$C$75</f>
        <v>59375</v>
      </c>
      <c r="S82" s="8">
        <f>J82*Входы!$C$77</f>
        <v>20000</v>
      </c>
      <c r="T82" s="8">
        <f>0+Входы!$C$86*Входы!$C$132*(Входы!$C$133*Входы!$C$134+Входы!$C$135*Входы!$C$89)+Входы!$C$86*Входы!$C$136*Входы!$C$90+Входы!$C$137+Входы!$C$138</f>
        <v>14168.8</v>
      </c>
      <c r="U82" s="8">
        <f>0</f>
        <v>0</v>
      </c>
      <c r="V82" s="8">
        <f>Входы!$C$141</f>
        <v>10000</v>
      </c>
      <c r="W82" s="8">
        <f>IF(L82&gt;=Входы!$C$50,Входы!$C$51,0)</f>
        <v>0</v>
      </c>
      <c r="X82" s="8">
        <f>I82*Входы!$C$40*Входы!$C$81</f>
        <v>25000</v>
      </c>
      <c r="Y82" s="8">
        <f>J82*(Входы!$C$80*Входы!$C$81+Входы!$C$82)</f>
        <v>16250</v>
      </c>
      <c r="Z82" s="8">
        <f>J82*Входы!$C$96*Входы!$C$75*12</f>
        <v>7500</v>
      </c>
      <c r="AA82" s="8">
        <f>N82*Входы!$C$52</f>
        <v>5937.5</v>
      </c>
      <c r="AB82" s="8">
        <f t="shared" si="19"/>
        <v>78856.3</v>
      </c>
      <c r="AC82" s="8">
        <f t="shared" si="20"/>
        <v>518.69999999999709</v>
      </c>
      <c r="AD82" s="8">
        <f t="shared" si="24"/>
        <v>-532062.92000000004</v>
      </c>
      <c r="AE82" s="18">
        <f>ROUNDUP((T82+U82+V82+W82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82" s="24" t="str">
        <f t="shared" si="21"/>
        <v>Нет</v>
      </c>
      <c r="AG82" s="8">
        <f t="shared" si="22"/>
        <v>-19481.300000000003</v>
      </c>
    </row>
    <row r="83" spans="1:33" ht="25.5" x14ac:dyDescent="0.25">
      <c r="A83" s="2" t="s">
        <v>656</v>
      </c>
      <c r="B83" s="12">
        <v>15</v>
      </c>
      <c r="C83" s="2" t="s">
        <v>701</v>
      </c>
      <c r="D83" s="2" t="s">
        <v>738</v>
      </c>
      <c r="E83" s="18">
        <f>Входы!$C$97</f>
        <v>20</v>
      </c>
      <c r="F83" s="18">
        <f>E83*Входы!$C$98/Входы!$C$97</f>
        <v>6</v>
      </c>
      <c r="G83" s="18">
        <f>F83*Входы!$C$99/Входы!$C$98</f>
        <v>3</v>
      </c>
      <c r="H83" s="18">
        <f>Входы!$C$26/12/Входы!$C$40</f>
        <v>0.5</v>
      </c>
      <c r="I83" s="18">
        <f>MIN(G83,H83,(Входы!$C$29/12/Входы!$C$80)/Входы!$C$41,MAX(0,Входы!$C$32/Входы!$C$55-L83+K83)/Входы!$C$41,MAX(0,Входы!$C$21-L83)/Входы!$C$41,MAX(0,Входы!$C$56-SUM(J73:J82))/Входы!$C$41,Входы!$C$100/Входы!$C$41)</f>
        <v>0.5</v>
      </c>
      <c r="J83" s="18">
        <f>I83*Входы!$C$41</f>
        <v>0.25</v>
      </c>
      <c r="K83" s="18">
        <f>0</f>
        <v>0</v>
      </c>
      <c r="L83" s="18">
        <f t="shared" si="23"/>
        <v>2.5</v>
      </c>
      <c r="M83" s="18">
        <f t="shared" si="17"/>
        <v>2.75</v>
      </c>
      <c r="N83" s="18">
        <f t="shared" si="18"/>
        <v>2.625</v>
      </c>
      <c r="O83" s="18">
        <f>I83*Входы!$C$40</f>
        <v>10</v>
      </c>
      <c r="P83" s="18">
        <f>J83*Входы!$C$80</f>
        <v>5</v>
      </c>
      <c r="Q83" s="18">
        <f>N83*Входы!$C$53/12</f>
        <v>2.625</v>
      </c>
      <c r="R83" s="8">
        <f>N83*Входы!$C$75</f>
        <v>65625</v>
      </c>
      <c r="S83" s="8">
        <f>J83*Входы!$C$77</f>
        <v>20000</v>
      </c>
      <c r="T83" s="8">
        <f>0+Входы!$C$86*Входы!$C$132*(Входы!$C$133*Входы!$C$134+Входы!$C$135*Входы!$C$89)+Входы!$C$86*Входы!$C$136*Входы!$C$90+Входы!$C$137+Входы!$C$138</f>
        <v>14168.8</v>
      </c>
      <c r="U83" s="8">
        <f>0</f>
        <v>0</v>
      </c>
      <c r="V83" s="8">
        <f>Входы!$C$141</f>
        <v>10000</v>
      </c>
      <c r="W83" s="8">
        <f>IF(L83&gt;=Входы!$C$50,Входы!$C$51,0)</f>
        <v>0</v>
      </c>
      <c r="X83" s="8">
        <f>I83*Входы!$C$40*Входы!$C$81</f>
        <v>25000</v>
      </c>
      <c r="Y83" s="8">
        <f>J83*(Входы!$C$80*Входы!$C$81+Входы!$C$82)</f>
        <v>16250</v>
      </c>
      <c r="Z83" s="8">
        <f>J83*Входы!$C$96*Входы!$C$75*12</f>
        <v>7500</v>
      </c>
      <c r="AA83" s="8">
        <f>N83*Входы!$C$52</f>
        <v>6562.5</v>
      </c>
      <c r="AB83" s="8">
        <f t="shared" si="19"/>
        <v>79481.3</v>
      </c>
      <c r="AC83" s="8">
        <f t="shared" si="20"/>
        <v>6143.6999999999971</v>
      </c>
      <c r="AD83" s="8">
        <f t="shared" si="24"/>
        <v>-525919.22000000009</v>
      </c>
      <c r="AE83" s="18">
        <f>ROUNDUP((T83+U83+V83+W83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83" s="24" t="str">
        <f t="shared" si="21"/>
        <v>Нет</v>
      </c>
      <c r="AG83" s="8">
        <f t="shared" si="22"/>
        <v>-13856.300000000003</v>
      </c>
    </row>
    <row r="84" spans="1:33" ht="25.5" x14ac:dyDescent="0.25">
      <c r="A84" s="2" t="s">
        <v>656</v>
      </c>
      <c r="B84" s="12">
        <v>16</v>
      </c>
      <c r="C84" s="2" t="s">
        <v>701</v>
      </c>
      <c r="D84" s="2" t="s">
        <v>738</v>
      </c>
      <c r="E84" s="18">
        <f>Входы!$C$97</f>
        <v>20</v>
      </c>
      <c r="F84" s="18">
        <f>E84*Входы!$C$98/Входы!$C$97</f>
        <v>6</v>
      </c>
      <c r="G84" s="18">
        <f>F84*Входы!$C$99/Входы!$C$98</f>
        <v>3</v>
      </c>
      <c r="H84" s="18">
        <f>Входы!$C$26/12/Входы!$C$40</f>
        <v>0.5</v>
      </c>
      <c r="I84" s="18">
        <f>MIN(G84,H84,(Входы!$C$29/12/Входы!$C$80)/Входы!$C$41,MAX(0,Входы!$C$32/Входы!$C$55-L84+K84)/Входы!$C$41,MAX(0,Входы!$C$21-L84)/Входы!$C$41,MAX(0,Входы!$C$56-SUM(J73:J83))/Входы!$C$41,Входы!$C$100/Входы!$C$41)</f>
        <v>0.5</v>
      </c>
      <c r="J84" s="18">
        <f>I84*Входы!$C$41</f>
        <v>0.25</v>
      </c>
      <c r="K84" s="18">
        <f>0</f>
        <v>0</v>
      </c>
      <c r="L84" s="18">
        <f t="shared" si="23"/>
        <v>2.75</v>
      </c>
      <c r="M84" s="18">
        <f t="shared" si="17"/>
        <v>3</v>
      </c>
      <c r="N84" s="18">
        <f t="shared" si="18"/>
        <v>2.875</v>
      </c>
      <c r="O84" s="18">
        <f>I84*Входы!$C$40</f>
        <v>10</v>
      </c>
      <c r="P84" s="18">
        <f>J84*Входы!$C$80</f>
        <v>5</v>
      </c>
      <c r="Q84" s="18">
        <f>N84*Входы!$C$53/12</f>
        <v>2.875</v>
      </c>
      <c r="R84" s="8">
        <f>N84*Входы!$C$75</f>
        <v>71875</v>
      </c>
      <c r="S84" s="8">
        <f>J84*Входы!$C$77</f>
        <v>20000</v>
      </c>
      <c r="T84" s="8">
        <f>0+Входы!$C$86*Входы!$C$132*(Входы!$C$133*Входы!$C$134+Входы!$C$135*Входы!$C$89)+Входы!$C$86*Входы!$C$136*Входы!$C$90+Входы!$C$137+Входы!$C$138</f>
        <v>14168.8</v>
      </c>
      <c r="U84" s="8">
        <f>0</f>
        <v>0</v>
      </c>
      <c r="V84" s="8">
        <f>Входы!$C$141</f>
        <v>10000</v>
      </c>
      <c r="W84" s="8">
        <f>IF(L84&gt;=Входы!$C$50,Входы!$C$51,0)</f>
        <v>0</v>
      </c>
      <c r="X84" s="8">
        <f>I84*Входы!$C$40*Входы!$C$81</f>
        <v>25000</v>
      </c>
      <c r="Y84" s="8">
        <f>J84*(Входы!$C$80*Входы!$C$81+Входы!$C$82)</f>
        <v>16250</v>
      </c>
      <c r="Z84" s="8">
        <f>J84*Входы!$C$96*Входы!$C$75*12</f>
        <v>7500</v>
      </c>
      <c r="AA84" s="8">
        <f>N84*Входы!$C$52</f>
        <v>7187.5</v>
      </c>
      <c r="AB84" s="8">
        <f t="shared" si="19"/>
        <v>80106.3</v>
      </c>
      <c r="AC84" s="8">
        <f t="shared" si="20"/>
        <v>11768.699999999997</v>
      </c>
      <c r="AD84" s="8">
        <f t="shared" si="24"/>
        <v>-514150.52000000008</v>
      </c>
      <c r="AE84" s="18">
        <f>ROUNDUP((T84+U84+V84+W84+(MIN(Входы!$C$56,Входы!$C$26/Входы!$C$40*Входы!$C$41,Входы!$C$29/Входы!$C$80,Входы!$C$100*12))/12*(Входы!$C$40*Входы!$C$81/Входы!$C$41+Входы!$C$96*Входы!$C$75*12))/(Входы!$C$75-Входы!$C$52),0)</f>
        <v>3</v>
      </c>
      <c r="AF84" s="24" t="str">
        <f t="shared" si="21"/>
        <v>Да</v>
      </c>
      <c r="AG84" s="8">
        <f t="shared" si="22"/>
        <v>-8231.3000000000029</v>
      </c>
    </row>
    <row r="85" spans="1:33" ht="25.5" x14ac:dyDescent="0.25">
      <c r="A85" s="2" t="s">
        <v>656</v>
      </c>
      <c r="B85" s="12">
        <v>17</v>
      </c>
      <c r="C85" s="2" t="s">
        <v>702</v>
      </c>
      <c r="D85" s="2" t="s">
        <v>738</v>
      </c>
      <c r="E85" s="18">
        <f>Входы!$C$103</f>
        <v>40</v>
      </c>
      <c r="F85" s="18">
        <f>E85*Входы!$C$104/Входы!$C$103</f>
        <v>12</v>
      </c>
      <c r="G85" s="18">
        <f>F85*Входы!$C$105/Входы!$C$104</f>
        <v>6</v>
      </c>
      <c r="H85" s="18">
        <f>Входы!$C$27/12/Входы!$C$40</f>
        <v>0.5</v>
      </c>
      <c r="I85" s="18">
        <f>MIN(G85,H85,(Входы!$C$30/12/Входы!$C$80)/Входы!$C$41,MAX(0,Входы!$C$33/Входы!$C$55-L85+K85)/Входы!$C$41,MAX(0,Входы!$C$21-L85)/Входы!$C$41,MAX(0,Входы!$C$57-0)/Входы!$C$41,Входы!$C$106/Входы!$C$41)</f>
        <v>0.5</v>
      </c>
      <c r="J85" s="18">
        <f>I85*Входы!$C$41</f>
        <v>0.25</v>
      </c>
      <c r="K85" s="18">
        <f>0</f>
        <v>0</v>
      </c>
      <c r="L85" s="18">
        <f t="shared" si="23"/>
        <v>3</v>
      </c>
      <c r="M85" s="18">
        <f t="shared" si="17"/>
        <v>3.25</v>
      </c>
      <c r="N85" s="18">
        <f t="shared" si="18"/>
        <v>3.125</v>
      </c>
      <c r="O85" s="18">
        <f>I85*Входы!$C$40</f>
        <v>10</v>
      </c>
      <c r="P85" s="18">
        <f>J85*Входы!$C$80</f>
        <v>5</v>
      </c>
      <c r="Q85" s="18">
        <f>N85*Входы!$C$53/12</f>
        <v>3.125</v>
      </c>
      <c r="R85" s="8">
        <f>N85*Входы!$C$75</f>
        <v>78125</v>
      </c>
      <c r="S85" s="8">
        <f>J85*Входы!$C$77</f>
        <v>20000</v>
      </c>
      <c r="T85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85" s="8">
        <f>0</f>
        <v>0</v>
      </c>
      <c r="V85" s="8">
        <f>Входы!$C$154</f>
        <v>10000</v>
      </c>
      <c r="W85" s="8">
        <f>IF(L85&gt;=Входы!$C$50,Входы!$C$51,0)</f>
        <v>0</v>
      </c>
      <c r="X85" s="8">
        <f>I85*Входы!$C$40*Входы!$C$81</f>
        <v>25000</v>
      </c>
      <c r="Y85" s="8">
        <f>J85*(Входы!$C$80*Входы!$C$81+Входы!$C$82)</f>
        <v>16250</v>
      </c>
      <c r="Z85" s="8">
        <f>J85*Входы!$C$96*Входы!$C$75*12</f>
        <v>7500</v>
      </c>
      <c r="AA85" s="8">
        <f>N85*Входы!$C$52</f>
        <v>7812.5</v>
      </c>
      <c r="AB85" s="8">
        <f t="shared" si="19"/>
        <v>94933.35</v>
      </c>
      <c r="AC85" s="8">
        <f t="shared" si="20"/>
        <v>3191.6499999999942</v>
      </c>
      <c r="AD85" s="8">
        <f t="shared" si="24"/>
        <v>-510958.87000000011</v>
      </c>
      <c r="AE85" s="18">
        <f>ROUNDUP((T85+U85+V85+W85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85" s="24" t="str">
        <f t="shared" si="21"/>
        <v>Нет</v>
      </c>
      <c r="AG85" s="8">
        <f t="shared" si="22"/>
        <v>-16808.350000000006</v>
      </c>
    </row>
    <row r="86" spans="1:33" ht="25.5" x14ac:dyDescent="0.25">
      <c r="A86" s="2" t="s">
        <v>656</v>
      </c>
      <c r="B86" s="12">
        <v>18</v>
      </c>
      <c r="C86" s="2" t="s">
        <v>702</v>
      </c>
      <c r="D86" s="2" t="s">
        <v>738</v>
      </c>
      <c r="E86" s="18">
        <f>Входы!$C$103</f>
        <v>40</v>
      </c>
      <c r="F86" s="18">
        <f>E86*Входы!$C$104/Входы!$C$103</f>
        <v>12</v>
      </c>
      <c r="G86" s="18">
        <f>F86*Входы!$C$105/Входы!$C$104</f>
        <v>6</v>
      </c>
      <c r="H86" s="18">
        <f>Входы!$C$27/12/Входы!$C$40</f>
        <v>0.5</v>
      </c>
      <c r="I86" s="18">
        <f>MIN(G86,H86,(Входы!$C$30/12/Входы!$C$80)/Входы!$C$41,MAX(0,Входы!$C$33/Входы!$C$55-L86+K86)/Входы!$C$41,MAX(0,Входы!$C$21-L86)/Входы!$C$41,MAX(0,Входы!$C$57-SUM(J85:J85))/Входы!$C$41,Входы!$C$106/Входы!$C$41)</f>
        <v>0.5</v>
      </c>
      <c r="J86" s="18">
        <f>I86*Входы!$C$41</f>
        <v>0.25</v>
      </c>
      <c r="K86" s="18">
        <f>0</f>
        <v>0</v>
      </c>
      <c r="L86" s="18">
        <f t="shared" si="23"/>
        <v>3.25</v>
      </c>
      <c r="M86" s="18">
        <f t="shared" si="17"/>
        <v>3.5</v>
      </c>
      <c r="N86" s="18">
        <f t="shared" si="18"/>
        <v>3.375</v>
      </c>
      <c r="O86" s="18">
        <f>I86*Входы!$C$40</f>
        <v>10</v>
      </c>
      <c r="P86" s="18">
        <f>J86*Входы!$C$80</f>
        <v>5</v>
      </c>
      <c r="Q86" s="18">
        <f>N86*Входы!$C$53/12</f>
        <v>3.375</v>
      </c>
      <c r="R86" s="8">
        <f>N86*Входы!$C$75</f>
        <v>84375</v>
      </c>
      <c r="S86" s="8">
        <f>J86*Входы!$C$77</f>
        <v>20000</v>
      </c>
      <c r="T86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86" s="8">
        <f>0</f>
        <v>0</v>
      </c>
      <c r="V86" s="8">
        <f>Входы!$C$154</f>
        <v>10000</v>
      </c>
      <c r="W86" s="8">
        <f>IF(L86&gt;=Входы!$C$50,Входы!$C$51,0)</f>
        <v>0</v>
      </c>
      <c r="X86" s="8">
        <f>I86*Входы!$C$40*Входы!$C$81</f>
        <v>25000</v>
      </c>
      <c r="Y86" s="8">
        <f>J86*(Входы!$C$80*Входы!$C$81+Входы!$C$82)</f>
        <v>16250</v>
      </c>
      <c r="Z86" s="8">
        <f>J86*Входы!$C$96*Входы!$C$75*12</f>
        <v>7500</v>
      </c>
      <c r="AA86" s="8">
        <f>N86*Входы!$C$52</f>
        <v>8437.5</v>
      </c>
      <c r="AB86" s="8">
        <f t="shared" si="19"/>
        <v>95558.35</v>
      </c>
      <c r="AC86" s="8">
        <f t="shared" si="20"/>
        <v>8816.6499999999942</v>
      </c>
      <c r="AD86" s="8">
        <f t="shared" si="24"/>
        <v>-502142.22000000009</v>
      </c>
      <c r="AE86" s="18">
        <f>ROUNDUP((T86+U86+V86+W86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86" s="24" t="str">
        <f t="shared" si="21"/>
        <v>Нет</v>
      </c>
      <c r="AG86" s="8">
        <f t="shared" si="22"/>
        <v>-11183.350000000006</v>
      </c>
    </row>
    <row r="87" spans="1:33" ht="25.5" x14ac:dyDescent="0.25">
      <c r="A87" s="2" t="s">
        <v>656</v>
      </c>
      <c r="B87" s="12">
        <v>19</v>
      </c>
      <c r="C87" s="2" t="s">
        <v>702</v>
      </c>
      <c r="D87" s="2" t="s">
        <v>738</v>
      </c>
      <c r="E87" s="18">
        <f>Входы!$C$103</f>
        <v>40</v>
      </c>
      <c r="F87" s="18">
        <f>E87*Входы!$C$104/Входы!$C$103</f>
        <v>12</v>
      </c>
      <c r="G87" s="18">
        <f>F87*Входы!$C$105/Входы!$C$104</f>
        <v>6</v>
      </c>
      <c r="H87" s="18">
        <f>Входы!$C$27/12/Входы!$C$40</f>
        <v>0.5</v>
      </c>
      <c r="I87" s="18">
        <f>MIN(G87,H87,(Входы!$C$30/12/Входы!$C$80)/Входы!$C$41,MAX(0,Входы!$C$33/Входы!$C$55-L87+K87)/Входы!$C$41,MAX(0,Входы!$C$21-L87)/Входы!$C$41,MAX(0,Входы!$C$57-SUM(J85:J86))/Входы!$C$41,Входы!$C$106/Входы!$C$41)</f>
        <v>0.5</v>
      </c>
      <c r="J87" s="18">
        <f>I87*Входы!$C$41</f>
        <v>0.25</v>
      </c>
      <c r="K87" s="18">
        <f>0</f>
        <v>0</v>
      </c>
      <c r="L87" s="18">
        <f t="shared" si="23"/>
        <v>3.5</v>
      </c>
      <c r="M87" s="18">
        <f t="shared" si="17"/>
        <v>3.75</v>
      </c>
      <c r="N87" s="18">
        <f t="shared" si="18"/>
        <v>3.625</v>
      </c>
      <c r="O87" s="18">
        <f>I87*Входы!$C$40</f>
        <v>10</v>
      </c>
      <c r="P87" s="18">
        <f>J87*Входы!$C$80</f>
        <v>5</v>
      </c>
      <c r="Q87" s="18">
        <f>N87*Входы!$C$53/12</f>
        <v>3.625</v>
      </c>
      <c r="R87" s="8">
        <f>N87*Входы!$C$75</f>
        <v>90625</v>
      </c>
      <c r="S87" s="8">
        <f>J87*Входы!$C$77</f>
        <v>20000</v>
      </c>
      <c r="T87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87" s="8">
        <f>0</f>
        <v>0</v>
      </c>
      <c r="V87" s="8">
        <f>Входы!$C$154</f>
        <v>10000</v>
      </c>
      <c r="W87" s="8">
        <f>IF(L87&gt;=Входы!$C$50,Входы!$C$51,0)</f>
        <v>0</v>
      </c>
      <c r="X87" s="8">
        <f>I87*Входы!$C$40*Входы!$C$81</f>
        <v>25000</v>
      </c>
      <c r="Y87" s="8">
        <f>J87*(Входы!$C$80*Входы!$C$81+Входы!$C$82)</f>
        <v>16250</v>
      </c>
      <c r="Z87" s="8">
        <f>J87*Входы!$C$96*Входы!$C$75*12</f>
        <v>7500</v>
      </c>
      <c r="AA87" s="8">
        <f>N87*Входы!$C$52</f>
        <v>9062.5</v>
      </c>
      <c r="AB87" s="8">
        <f t="shared" si="19"/>
        <v>96183.35</v>
      </c>
      <c r="AC87" s="8">
        <f t="shared" si="20"/>
        <v>14441.649999999994</v>
      </c>
      <c r="AD87" s="8">
        <f t="shared" si="24"/>
        <v>-487700.57000000007</v>
      </c>
      <c r="AE87" s="18">
        <f>ROUNDUP((T87+U87+V87+W87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87" s="24" t="str">
        <f t="shared" si="21"/>
        <v>Нет</v>
      </c>
      <c r="AG87" s="8">
        <f t="shared" si="22"/>
        <v>-5558.3500000000058</v>
      </c>
    </row>
    <row r="88" spans="1:33" ht="25.5" x14ac:dyDescent="0.25">
      <c r="A88" s="2" t="s">
        <v>656</v>
      </c>
      <c r="B88" s="12">
        <v>20</v>
      </c>
      <c r="C88" s="2" t="s">
        <v>702</v>
      </c>
      <c r="D88" s="2" t="s">
        <v>738</v>
      </c>
      <c r="E88" s="18">
        <f>Входы!$C$103</f>
        <v>40</v>
      </c>
      <c r="F88" s="18">
        <f>E88*Входы!$C$104/Входы!$C$103</f>
        <v>12</v>
      </c>
      <c r="G88" s="18">
        <f>F88*Входы!$C$105/Входы!$C$104</f>
        <v>6</v>
      </c>
      <c r="H88" s="18">
        <f>Входы!$C$27/12/Входы!$C$40</f>
        <v>0.5</v>
      </c>
      <c r="I88" s="18">
        <f>MIN(G88,H88,(Входы!$C$30/12/Входы!$C$80)/Входы!$C$41,MAX(0,Входы!$C$33/Входы!$C$55-L88+K88)/Входы!$C$41,MAX(0,Входы!$C$21-L88)/Входы!$C$41,MAX(0,Входы!$C$57-SUM(J85:J87))/Входы!$C$41,Входы!$C$106/Входы!$C$41)</f>
        <v>0.5</v>
      </c>
      <c r="J88" s="18">
        <f>I88*Входы!$C$41</f>
        <v>0.25</v>
      </c>
      <c r="K88" s="18">
        <f>0</f>
        <v>0</v>
      </c>
      <c r="L88" s="18">
        <f t="shared" si="23"/>
        <v>3.75</v>
      </c>
      <c r="M88" s="18">
        <f t="shared" si="17"/>
        <v>4</v>
      </c>
      <c r="N88" s="18">
        <f t="shared" si="18"/>
        <v>3.875</v>
      </c>
      <c r="O88" s="18">
        <f>I88*Входы!$C$40</f>
        <v>10</v>
      </c>
      <c r="P88" s="18">
        <f>J88*Входы!$C$80</f>
        <v>5</v>
      </c>
      <c r="Q88" s="18">
        <f>N88*Входы!$C$53/12</f>
        <v>3.875</v>
      </c>
      <c r="R88" s="8">
        <f>N88*Входы!$C$75</f>
        <v>96875</v>
      </c>
      <c r="S88" s="8">
        <f>J88*Входы!$C$77</f>
        <v>20000</v>
      </c>
      <c r="T88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88" s="8">
        <f>0</f>
        <v>0</v>
      </c>
      <c r="V88" s="8">
        <f>Входы!$C$154</f>
        <v>10000</v>
      </c>
      <c r="W88" s="8">
        <f>IF(L88&gt;=Входы!$C$50,Входы!$C$51,0)</f>
        <v>0</v>
      </c>
      <c r="X88" s="8">
        <f>I88*Входы!$C$40*Входы!$C$81</f>
        <v>25000</v>
      </c>
      <c r="Y88" s="8">
        <f>J88*(Входы!$C$80*Входы!$C$81+Входы!$C$82)</f>
        <v>16250</v>
      </c>
      <c r="Z88" s="8">
        <f>J88*Входы!$C$96*Входы!$C$75*12</f>
        <v>7500</v>
      </c>
      <c r="AA88" s="8">
        <f>N88*Входы!$C$52</f>
        <v>9687.5</v>
      </c>
      <c r="AB88" s="8">
        <f t="shared" si="19"/>
        <v>96808.35</v>
      </c>
      <c r="AC88" s="8">
        <f t="shared" si="20"/>
        <v>20066.649999999994</v>
      </c>
      <c r="AD88" s="8">
        <f t="shared" si="24"/>
        <v>-467633.92000000004</v>
      </c>
      <c r="AE88" s="18">
        <f>ROUNDUP((T88+U88+V88+W88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88" s="24" t="str">
        <f t="shared" si="21"/>
        <v>Да</v>
      </c>
      <c r="AG88" s="8">
        <f t="shared" si="22"/>
        <v>66.649999999994179</v>
      </c>
    </row>
    <row r="89" spans="1:33" ht="25.5" x14ac:dyDescent="0.25">
      <c r="A89" s="2" t="s">
        <v>656</v>
      </c>
      <c r="B89" s="12">
        <v>21</v>
      </c>
      <c r="C89" s="2" t="s">
        <v>702</v>
      </c>
      <c r="D89" s="2" t="s">
        <v>738</v>
      </c>
      <c r="E89" s="18">
        <f>Входы!$C$103</f>
        <v>40</v>
      </c>
      <c r="F89" s="18">
        <f>E89*Входы!$C$104/Входы!$C$103</f>
        <v>12</v>
      </c>
      <c r="G89" s="18">
        <f>F89*Входы!$C$105/Входы!$C$104</f>
        <v>6</v>
      </c>
      <c r="H89" s="18">
        <f>Входы!$C$27/12/Входы!$C$40</f>
        <v>0.5</v>
      </c>
      <c r="I89" s="18">
        <f>MIN(G89,H89,(Входы!$C$30/12/Входы!$C$80)/Входы!$C$41,MAX(0,Входы!$C$33/Входы!$C$55-L89+K89)/Входы!$C$41,MAX(0,Входы!$C$21-L89)/Входы!$C$41,MAX(0,Входы!$C$57-SUM(J85:J88))/Входы!$C$41,Входы!$C$106/Входы!$C$41)</f>
        <v>0.5</v>
      </c>
      <c r="J89" s="18">
        <f>I89*Входы!$C$41</f>
        <v>0.25</v>
      </c>
      <c r="K89" s="18">
        <f>0</f>
        <v>0</v>
      </c>
      <c r="L89" s="18">
        <f t="shared" si="23"/>
        <v>4</v>
      </c>
      <c r="M89" s="18">
        <f t="shared" si="17"/>
        <v>4.25</v>
      </c>
      <c r="N89" s="18">
        <f t="shared" si="18"/>
        <v>4.125</v>
      </c>
      <c r="O89" s="18">
        <f>I89*Входы!$C$40</f>
        <v>10</v>
      </c>
      <c r="P89" s="18">
        <f>J89*Входы!$C$80</f>
        <v>5</v>
      </c>
      <c r="Q89" s="18">
        <f>N89*Входы!$C$53/12</f>
        <v>4.125</v>
      </c>
      <c r="R89" s="8">
        <f>N89*Входы!$C$75</f>
        <v>103125</v>
      </c>
      <c r="S89" s="8">
        <f>J89*Входы!$C$77</f>
        <v>20000</v>
      </c>
      <c r="T89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89" s="8">
        <f>0</f>
        <v>0</v>
      </c>
      <c r="V89" s="8">
        <f>Входы!$C$154</f>
        <v>10000</v>
      </c>
      <c r="W89" s="8">
        <f>IF(L89&gt;=Входы!$C$50,Входы!$C$51,0)</f>
        <v>0</v>
      </c>
      <c r="X89" s="8">
        <f>I89*Входы!$C$40*Входы!$C$81</f>
        <v>25000</v>
      </c>
      <c r="Y89" s="8">
        <f>J89*(Входы!$C$80*Входы!$C$81+Входы!$C$82)</f>
        <v>16250</v>
      </c>
      <c r="Z89" s="8">
        <f>J89*Входы!$C$96*Входы!$C$75*12</f>
        <v>7500</v>
      </c>
      <c r="AA89" s="8">
        <f>N89*Входы!$C$52</f>
        <v>10312.5</v>
      </c>
      <c r="AB89" s="8">
        <f t="shared" si="19"/>
        <v>97433.35</v>
      </c>
      <c r="AC89" s="8">
        <f t="shared" si="20"/>
        <v>25691.649999999994</v>
      </c>
      <c r="AD89" s="8">
        <f t="shared" si="24"/>
        <v>-441942.27</v>
      </c>
      <c r="AE89" s="18">
        <f>ROUNDUP((T89+U89+V89+W89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89" s="24" t="str">
        <f t="shared" si="21"/>
        <v>Да</v>
      </c>
      <c r="AG89" s="8">
        <f t="shared" si="22"/>
        <v>5691.6499999999942</v>
      </c>
    </row>
    <row r="90" spans="1:33" ht="25.5" x14ac:dyDescent="0.25">
      <c r="A90" s="2" t="s">
        <v>656</v>
      </c>
      <c r="B90" s="12">
        <v>22</v>
      </c>
      <c r="C90" s="2" t="s">
        <v>702</v>
      </c>
      <c r="D90" s="2" t="s">
        <v>738</v>
      </c>
      <c r="E90" s="18">
        <f>Входы!$C$103</f>
        <v>40</v>
      </c>
      <c r="F90" s="18">
        <f>E90*Входы!$C$104/Входы!$C$103</f>
        <v>12</v>
      </c>
      <c r="G90" s="18">
        <f>F90*Входы!$C$105/Входы!$C$104</f>
        <v>6</v>
      </c>
      <c r="H90" s="18">
        <f>Входы!$C$27/12/Входы!$C$40</f>
        <v>0.5</v>
      </c>
      <c r="I90" s="18">
        <f>MIN(G90,H90,(Входы!$C$30/12/Входы!$C$80)/Входы!$C$41,MAX(0,Входы!$C$33/Входы!$C$55-L90+K90)/Входы!$C$41,MAX(0,Входы!$C$21-L90)/Входы!$C$41,MAX(0,Входы!$C$57-SUM(J85:J89))/Входы!$C$41,Входы!$C$106/Входы!$C$41)</f>
        <v>0.5</v>
      </c>
      <c r="J90" s="18">
        <f>I90*Входы!$C$41</f>
        <v>0.25</v>
      </c>
      <c r="K90" s="18">
        <f>0</f>
        <v>0</v>
      </c>
      <c r="L90" s="18">
        <f t="shared" si="23"/>
        <v>4.25</v>
      </c>
      <c r="M90" s="18">
        <f t="shared" si="17"/>
        <v>4.5</v>
      </c>
      <c r="N90" s="18">
        <f t="shared" si="18"/>
        <v>4.375</v>
      </c>
      <c r="O90" s="18">
        <f>I90*Входы!$C$40</f>
        <v>10</v>
      </c>
      <c r="P90" s="18">
        <f>J90*Входы!$C$80</f>
        <v>5</v>
      </c>
      <c r="Q90" s="18">
        <f>N90*Входы!$C$53/12</f>
        <v>4.375</v>
      </c>
      <c r="R90" s="8">
        <f>N90*Входы!$C$75</f>
        <v>109375</v>
      </c>
      <c r="S90" s="8">
        <f>J90*Входы!$C$77</f>
        <v>20000</v>
      </c>
      <c r="T90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0" s="8">
        <f>0</f>
        <v>0</v>
      </c>
      <c r="V90" s="8">
        <f>Входы!$C$154</f>
        <v>10000</v>
      </c>
      <c r="W90" s="8">
        <f>IF(L90&gt;=Входы!$C$50,Входы!$C$51,0)</f>
        <v>0</v>
      </c>
      <c r="X90" s="8">
        <f>I90*Входы!$C$40*Входы!$C$81</f>
        <v>25000</v>
      </c>
      <c r="Y90" s="8">
        <f>J90*(Входы!$C$80*Входы!$C$81+Входы!$C$82)</f>
        <v>16250</v>
      </c>
      <c r="Z90" s="8">
        <f>J90*Входы!$C$96*Входы!$C$75*12</f>
        <v>7500</v>
      </c>
      <c r="AA90" s="8">
        <f>N90*Входы!$C$52</f>
        <v>10937.5</v>
      </c>
      <c r="AB90" s="8">
        <f t="shared" si="19"/>
        <v>98058.35</v>
      </c>
      <c r="AC90" s="8">
        <f t="shared" si="20"/>
        <v>31316.649999999994</v>
      </c>
      <c r="AD90" s="8">
        <f t="shared" si="24"/>
        <v>-410625.62</v>
      </c>
      <c r="AE90" s="18">
        <f>ROUNDUP((T90+U90+V90+W90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0" s="24" t="str">
        <f t="shared" si="21"/>
        <v>Да</v>
      </c>
      <c r="AG90" s="8">
        <f t="shared" si="22"/>
        <v>11316.649999999994</v>
      </c>
    </row>
    <row r="91" spans="1:33" ht="25.5" x14ac:dyDescent="0.25">
      <c r="A91" s="2" t="s">
        <v>656</v>
      </c>
      <c r="B91" s="12">
        <v>23</v>
      </c>
      <c r="C91" s="2" t="s">
        <v>702</v>
      </c>
      <c r="D91" s="2" t="s">
        <v>738</v>
      </c>
      <c r="E91" s="18">
        <f>Входы!$C$103</f>
        <v>40</v>
      </c>
      <c r="F91" s="18">
        <f>E91*Входы!$C$104/Входы!$C$103</f>
        <v>12</v>
      </c>
      <c r="G91" s="18">
        <f>F91*Входы!$C$105/Входы!$C$104</f>
        <v>6</v>
      </c>
      <c r="H91" s="18">
        <f>Входы!$C$27/12/Входы!$C$40</f>
        <v>0.5</v>
      </c>
      <c r="I91" s="18">
        <f>MIN(G91,H91,(Входы!$C$30/12/Входы!$C$80)/Входы!$C$41,MAX(0,Входы!$C$33/Входы!$C$55-L91+K91)/Входы!$C$41,MAX(0,Входы!$C$21-L91)/Входы!$C$41,MAX(0,Входы!$C$57-SUM(J85:J90))/Входы!$C$41,Входы!$C$106/Входы!$C$41)</f>
        <v>0.5</v>
      </c>
      <c r="J91" s="18">
        <f>I91*Входы!$C$41</f>
        <v>0.25</v>
      </c>
      <c r="K91" s="18">
        <f>0</f>
        <v>0</v>
      </c>
      <c r="L91" s="18">
        <f t="shared" si="23"/>
        <v>4.5</v>
      </c>
      <c r="M91" s="18">
        <f t="shared" si="17"/>
        <v>4.75</v>
      </c>
      <c r="N91" s="18">
        <f t="shared" si="18"/>
        <v>4.625</v>
      </c>
      <c r="O91" s="18">
        <f>I91*Входы!$C$40</f>
        <v>10</v>
      </c>
      <c r="P91" s="18">
        <f>J91*Входы!$C$80</f>
        <v>5</v>
      </c>
      <c r="Q91" s="18">
        <f>N91*Входы!$C$53/12</f>
        <v>4.625</v>
      </c>
      <c r="R91" s="8">
        <f>N91*Входы!$C$75</f>
        <v>115625</v>
      </c>
      <c r="S91" s="8">
        <f>J91*Входы!$C$77</f>
        <v>20000</v>
      </c>
      <c r="T91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1" s="8">
        <f>0</f>
        <v>0</v>
      </c>
      <c r="V91" s="8">
        <f>Входы!$C$154</f>
        <v>10000</v>
      </c>
      <c r="W91" s="8">
        <f>IF(L91&gt;=Входы!$C$50,Входы!$C$51,0)</f>
        <v>0</v>
      </c>
      <c r="X91" s="8">
        <f>I91*Входы!$C$40*Входы!$C$81</f>
        <v>25000</v>
      </c>
      <c r="Y91" s="8">
        <f>J91*(Входы!$C$80*Входы!$C$81+Входы!$C$82)</f>
        <v>16250</v>
      </c>
      <c r="Z91" s="8">
        <f>J91*Входы!$C$96*Входы!$C$75*12</f>
        <v>7500</v>
      </c>
      <c r="AA91" s="8">
        <f>N91*Входы!$C$52</f>
        <v>11562.5</v>
      </c>
      <c r="AB91" s="8">
        <f t="shared" si="19"/>
        <v>98683.35</v>
      </c>
      <c r="AC91" s="8">
        <f t="shared" si="20"/>
        <v>36941.649999999994</v>
      </c>
      <c r="AD91" s="8">
        <f t="shared" si="24"/>
        <v>-373683.97</v>
      </c>
      <c r="AE91" s="18">
        <f>ROUNDUP((T91+U91+V91+W91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1" s="24" t="str">
        <f t="shared" si="21"/>
        <v>Да</v>
      </c>
      <c r="AG91" s="8">
        <f t="shared" si="22"/>
        <v>16941.649999999994</v>
      </c>
    </row>
    <row r="92" spans="1:33" ht="25.5" x14ac:dyDescent="0.25">
      <c r="A92" s="2" t="s">
        <v>656</v>
      </c>
      <c r="B92" s="12">
        <v>24</v>
      </c>
      <c r="C92" s="2" t="s">
        <v>702</v>
      </c>
      <c r="D92" s="2" t="s">
        <v>738</v>
      </c>
      <c r="E92" s="18">
        <f>Входы!$C$103</f>
        <v>40</v>
      </c>
      <c r="F92" s="18">
        <f>E92*Входы!$C$104/Входы!$C$103</f>
        <v>12</v>
      </c>
      <c r="G92" s="18">
        <f>F92*Входы!$C$105/Входы!$C$104</f>
        <v>6</v>
      </c>
      <c r="H92" s="18">
        <f>Входы!$C$27/12/Входы!$C$40</f>
        <v>0.5</v>
      </c>
      <c r="I92" s="18">
        <f>MIN(G92,H92,(Входы!$C$30/12/Входы!$C$80)/Входы!$C$41,MAX(0,Входы!$C$33/Входы!$C$55-L92+K92)/Входы!$C$41,MAX(0,Входы!$C$21-L92)/Входы!$C$41,MAX(0,Входы!$C$57-SUM(J85:J91))/Входы!$C$41,Входы!$C$106/Входы!$C$41)</f>
        <v>0.5</v>
      </c>
      <c r="J92" s="18">
        <f>I92*Входы!$C$41</f>
        <v>0.25</v>
      </c>
      <c r="K92" s="18">
        <f>0</f>
        <v>0</v>
      </c>
      <c r="L92" s="18">
        <f t="shared" si="23"/>
        <v>4.75</v>
      </c>
      <c r="M92" s="18">
        <f t="shared" si="17"/>
        <v>5</v>
      </c>
      <c r="N92" s="18">
        <f t="shared" si="18"/>
        <v>4.875</v>
      </c>
      <c r="O92" s="18">
        <f>I92*Входы!$C$40</f>
        <v>10</v>
      </c>
      <c r="P92" s="18">
        <f>J92*Входы!$C$80</f>
        <v>5</v>
      </c>
      <c r="Q92" s="18">
        <f>N92*Входы!$C$53/12</f>
        <v>4.875</v>
      </c>
      <c r="R92" s="8">
        <f>N92*Входы!$C$75</f>
        <v>121875</v>
      </c>
      <c r="S92" s="8">
        <f>J92*Входы!$C$77</f>
        <v>20000</v>
      </c>
      <c r="T92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2" s="8">
        <f>0</f>
        <v>0</v>
      </c>
      <c r="V92" s="8">
        <f>Входы!$C$154</f>
        <v>10000</v>
      </c>
      <c r="W92" s="8">
        <f>IF(L92&gt;=Входы!$C$50,Входы!$C$51,0)</f>
        <v>0</v>
      </c>
      <c r="X92" s="8">
        <f>I92*Входы!$C$40*Входы!$C$81</f>
        <v>25000</v>
      </c>
      <c r="Y92" s="8">
        <f>J92*(Входы!$C$80*Входы!$C$81+Входы!$C$82)</f>
        <v>16250</v>
      </c>
      <c r="Z92" s="8">
        <f>J92*Входы!$C$96*Входы!$C$75*12</f>
        <v>7500</v>
      </c>
      <c r="AA92" s="8">
        <f>N92*Входы!$C$52</f>
        <v>12187.5</v>
      </c>
      <c r="AB92" s="8">
        <f t="shared" si="19"/>
        <v>99308.35</v>
      </c>
      <c r="AC92" s="8">
        <f t="shared" si="20"/>
        <v>42566.649999999994</v>
      </c>
      <c r="AD92" s="8">
        <f t="shared" si="24"/>
        <v>-331117.31999999995</v>
      </c>
      <c r="AE92" s="18">
        <f>ROUNDUP((T92+U92+V92+W92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2" s="24" t="str">
        <f t="shared" si="21"/>
        <v>Да</v>
      </c>
      <c r="AG92" s="8">
        <f t="shared" si="22"/>
        <v>22566.649999999994</v>
      </c>
    </row>
    <row r="93" spans="1:33" ht="25.5" x14ac:dyDescent="0.25">
      <c r="A93" s="2" t="s">
        <v>656</v>
      </c>
      <c r="B93" s="12">
        <v>25</v>
      </c>
      <c r="C93" s="2" t="s">
        <v>702</v>
      </c>
      <c r="D93" s="2" t="s">
        <v>738</v>
      </c>
      <c r="E93" s="18">
        <f>Входы!$C$103</f>
        <v>40</v>
      </c>
      <c r="F93" s="18">
        <f>E93*Входы!$C$104/Входы!$C$103</f>
        <v>12</v>
      </c>
      <c r="G93" s="18">
        <f>F93*Входы!$C$105/Входы!$C$104</f>
        <v>6</v>
      </c>
      <c r="H93" s="18">
        <f>Входы!$C$27/12/Входы!$C$40</f>
        <v>0.5</v>
      </c>
      <c r="I93" s="18">
        <f>MIN(G93,H93,(Входы!$C$30/12/Входы!$C$80)/Входы!$C$41,MAX(0,Входы!$C$33/Входы!$C$55-L93+K93)/Входы!$C$41,MAX(0,Входы!$C$21-L93)/Входы!$C$41,MAX(0,Входы!$C$57-SUM(J85:J92))/Входы!$C$41,Входы!$C$106/Входы!$C$41)</f>
        <v>0.5</v>
      </c>
      <c r="J93" s="18">
        <f>I93*Входы!$C$41</f>
        <v>0.25</v>
      </c>
      <c r="K93" s="18">
        <f t="shared" ref="K93:K132" si="25">J69</f>
        <v>0</v>
      </c>
      <c r="L93" s="18">
        <f t="shared" si="23"/>
        <v>5</v>
      </c>
      <c r="M93" s="18">
        <f t="shared" si="17"/>
        <v>5.25</v>
      </c>
      <c r="N93" s="18">
        <f t="shared" si="18"/>
        <v>5.125</v>
      </c>
      <c r="O93" s="18">
        <f>I93*Входы!$C$40</f>
        <v>10</v>
      </c>
      <c r="P93" s="18">
        <f>J93*Входы!$C$80</f>
        <v>5</v>
      </c>
      <c r="Q93" s="18">
        <f>N93*Входы!$C$53/12</f>
        <v>5.125</v>
      </c>
      <c r="R93" s="8">
        <f>N93*Входы!$C$75</f>
        <v>128125</v>
      </c>
      <c r="S93" s="8">
        <f>J93*Входы!$C$77</f>
        <v>20000</v>
      </c>
      <c r="T93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3" s="8">
        <f>0</f>
        <v>0</v>
      </c>
      <c r="V93" s="8">
        <f>Входы!$C$154</f>
        <v>10000</v>
      </c>
      <c r="W93" s="8">
        <f>IF(L93&gt;=Входы!$C$50,Входы!$C$51,0)</f>
        <v>0</v>
      </c>
      <c r="X93" s="8">
        <f>I93*Входы!$C$40*Входы!$C$81</f>
        <v>25000</v>
      </c>
      <c r="Y93" s="8">
        <f>J93*(Входы!$C$80*Входы!$C$81+Входы!$C$82)</f>
        <v>16250</v>
      </c>
      <c r="Z93" s="8">
        <f>J93*Входы!$C$96*Входы!$C$75*12</f>
        <v>7500</v>
      </c>
      <c r="AA93" s="8">
        <f>N93*Входы!$C$52</f>
        <v>12812.5</v>
      </c>
      <c r="AB93" s="8">
        <f t="shared" si="19"/>
        <v>99933.35</v>
      </c>
      <c r="AC93" s="8">
        <f t="shared" si="20"/>
        <v>48191.649999999994</v>
      </c>
      <c r="AD93" s="8">
        <f t="shared" si="24"/>
        <v>-282925.66999999993</v>
      </c>
      <c r="AE93" s="18">
        <f>ROUNDUP((T93+U93+V93+W93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3" s="24" t="str">
        <f t="shared" si="21"/>
        <v>Да</v>
      </c>
      <c r="AG93" s="8">
        <f t="shared" si="22"/>
        <v>28191.649999999994</v>
      </c>
    </row>
    <row r="94" spans="1:33" ht="25.5" x14ac:dyDescent="0.25">
      <c r="A94" s="2" t="s">
        <v>656</v>
      </c>
      <c r="B94" s="12">
        <v>26</v>
      </c>
      <c r="C94" s="2" t="s">
        <v>702</v>
      </c>
      <c r="D94" s="2" t="s">
        <v>738</v>
      </c>
      <c r="E94" s="18">
        <f>Входы!$C$103</f>
        <v>40</v>
      </c>
      <c r="F94" s="18">
        <f>E94*Входы!$C$104/Входы!$C$103</f>
        <v>12</v>
      </c>
      <c r="G94" s="18">
        <f>F94*Входы!$C$105/Входы!$C$104</f>
        <v>6</v>
      </c>
      <c r="H94" s="18">
        <f>Входы!$C$27/12/Входы!$C$40</f>
        <v>0.5</v>
      </c>
      <c r="I94" s="18">
        <f>MIN(G94,H94,(Входы!$C$30/12/Входы!$C$80)/Входы!$C$41,MAX(0,Входы!$C$33/Входы!$C$55-L94+K94)/Входы!$C$41,MAX(0,Входы!$C$21-L94)/Входы!$C$41,MAX(0,Входы!$C$57-SUM(J85:J93))/Входы!$C$41,Входы!$C$106/Входы!$C$41)</f>
        <v>0.5</v>
      </c>
      <c r="J94" s="18">
        <f>I94*Входы!$C$41</f>
        <v>0.25</v>
      </c>
      <c r="K94" s="18">
        <f t="shared" si="25"/>
        <v>0</v>
      </c>
      <c r="L94" s="18">
        <f t="shared" si="23"/>
        <v>5.25</v>
      </c>
      <c r="M94" s="18">
        <f t="shared" si="17"/>
        <v>5.5</v>
      </c>
      <c r="N94" s="18">
        <f t="shared" si="18"/>
        <v>5.375</v>
      </c>
      <c r="O94" s="18">
        <f>I94*Входы!$C$40</f>
        <v>10</v>
      </c>
      <c r="P94" s="18">
        <f>J94*Входы!$C$80</f>
        <v>5</v>
      </c>
      <c r="Q94" s="18">
        <f>N94*Входы!$C$53/12</f>
        <v>5.375</v>
      </c>
      <c r="R94" s="8">
        <f>N94*Входы!$C$75</f>
        <v>134375</v>
      </c>
      <c r="S94" s="8">
        <f>J94*Входы!$C$77</f>
        <v>20000</v>
      </c>
      <c r="T94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4" s="8">
        <f>0</f>
        <v>0</v>
      </c>
      <c r="V94" s="8">
        <f>Входы!$C$154</f>
        <v>10000</v>
      </c>
      <c r="W94" s="8">
        <f>IF(L94&gt;=Входы!$C$50,Входы!$C$51,0)</f>
        <v>0</v>
      </c>
      <c r="X94" s="8">
        <f>I94*Входы!$C$40*Входы!$C$81</f>
        <v>25000</v>
      </c>
      <c r="Y94" s="8">
        <f>J94*(Входы!$C$80*Входы!$C$81+Входы!$C$82)</f>
        <v>16250</v>
      </c>
      <c r="Z94" s="8">
        <f>J94*Входы!$C$96*Входы!$C$75*12</f>
        <v>7500</v>
      </c>
      <c r="AA94" s="8">
        <f>N94*Входы!$C$52</f>
        <v>13437.5</v>
      </c>
      <c r="AB94" s="8">
        <f t="shared" si="19"/>
        <v>100558.35</v>
      </c>
      <c r="AC94" s="8">
        <f t="shared" si="20"/>
        <v>53816.649999999994</v>
      </c>
      <c r="AD94" s="8">
        <f t="shared" si="24"/>
        <v>-229109.01999999993</v>
      </c>
      <c r="AE94" s="18">
        <f>ROUNDUP((T94+U94+V94+W94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4" s="24" t="str">
        <f t="shared" si="21"/>
        <v>Да</v>
      </c>
      <c r="AG94" s="8">
        <f t="shared" si="22"/>
        <v>33816.649999999994</v>
      </c>
    </row>
    <row r="95" spans="1:33" ht="25.5" x14ac:dyDescent="0.25">
      <c r="A95" s="2" t="s">
        <v>656</v>
      </c>
      <c r="B95" s="12">
        <v>27</v>
      </c>
      <c r="C95" s="2" t="s">
        <v>702</v>
      </c>
      <c r="D95" s="2" t="s">
        <v>738</v>
      </c>
      <c r="E95" s="18">
        <f>Входы!$C$103</f>
        <v>40</v>
      </c>
      <c r="F95" s="18">
        <f>E95*Входы!$C$104/Входы!$C$103</f>
        <v>12</v>
      </c>
      <c r="G95" s="18">
        <f>F95*Входы!$C$105/Входы!$C$104</f>
        <v>6</v>
      </c>
      <c r="H95" s="18">
        <f>Входы!$C$27/12/Входы!$C$40</f>
        <v>0.5</v>
      </c>
      <c r="I95" s="18">
        <f>MIN(G95,H95,(Входы!$C$30/12/Входы!$C$80)/Входы!$C$41,MAX(0,Входы!$C$33/Входы!$C$55-L95+K95)/Входы!$C$41,MAX(0,Входы!$C$21-L95)/Входы!$C$41,MAX(0,Входы!$C$57-SUM(J85:J94))/Входы!$C$41,Входы!$C$106/Входы!$C$41)</f>
        <v>0.5</v>
      </c>
      <c r="J95" s="18">
        <f>I95*Входы!$C$41</f>
        <v>0.25</v>
      </c>
      <c r="K95" s="18">
        <f t="shared" si="25"/>
        <v>0</v>
      </c>
      <c r="L95" s="18">
        <f t="shared" si="23"/>
        <v>5.5</v>
      </c>
      <c r="M95" s="18">
        <f t="shared" si="17"/>
        <v>5.75</v>
      </c>
      <c r="N95" s="18">
        <f t="shared" si="18"/>
        <v>5.625</v>
      </c>
      <c r="O95" s="18">
        <f>I95*Входы!$C$40</f>
        <v>10</v>
      </c>
      <c r="P95" s="18">
        <f>J95*Входы!$C$80</f>
        <v>5</v>
      </c>
      <c r="Q95" s="18">
        <f>N95*Входы!$C$53/12</f>
        <v>5.625</v>
      </c>
      <c r="R95" s="8">
        <f>N95*Входы!$C$75</f>
        <v>140625</v>
      </c>
      <c r="S95" s="8">
        <f>J95*Входы!$C$77</f>
        <v>20000</v>
      </c>
      <c r="T95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5" s="8">
        <f>0</f>
        <v>0</v>
      </c>
      <c r="V95" s="8">
        <f>Входы!$C$154</f>
        <v>10000</v>
      </c>
      <c r="W95" s="8">
        <f>IF(L95&gt;=Входы!$C$50,Входы!$C$51,0)</f>
        <v>0</v>
      </c>
      <c r="X95" s="8">
        <f>I95*Входы!$C$40*Входы!$C$81</f>
        <v>25000</v>
      </c>
      <c r="Y95" s="8">
        <f>J95*(Входы!$C$80*Входы!$C$81+Входы!$C$82)</f>
        <v>16250</v>
      </c>
      <c r="Z95" s="8">
        <f>J95*Входы!$C$96*Входы!$C$75*12</f>
        <v>7500</v>
      </c>
      <c r="AA95" s="8">
        <f>N95*Входы!$C$52</f>
        <v>14062.5</v>
      </c>
      <c r="AB95" s="8">
        <f t="shared" si="19"/>
        <v>101183.35</v>
      </c>
      <c r="AC95" s="8">
        <f t="shared" si="20"/>
        <v>59441.649999999994</v>
      </c>
      <c r="AD95" s="8">
        <f t="shared" si="24"/>
        <v>-169667.36999999994</v>
      </c>
      <c r="AE95" s="18">
        <f>ROUNDUP((T95+U95+V95+W95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5" s="24" t="str">
        <f t="shared" si="21"/>
        <v>Да</v>
      </c>
      <c r="AG95" s="8">
        <f t="shared" si="22"/>
        <v>39441.649999999994</v>
      </c>
    </row>
    <row r="96" spans="1:33" ht="25.5" x14ac:dyDescent="0.25">
      <c r="A96" s="2" t="s">
        <v>656</v>
      </c>
      <c r="B96" s="12">
        <v>28</v>
      </c>
      <c r="C96" s="2" t="s">
        <v>702</v>
      </c>
      <c r="D96" s="2" t="s">
        <v>738</v>
      </c>
      <c r="E96" s="18">
        <f>Входы!$C$103</f>
        <v>40</v>
      </c>
      <c r="F96" s="18">
        <f>E96*Входы!$C$104/Входы!$C$103</f>
        <v>12</v>
      </c>
      <c r="G96" s="18">
        <f>F96*Входы!$C$105/Входы!$C$104</f>
        <v>6</v>
      </c>
      <c r="H96" s="18">
        <f>Входы!$C$27/12/Входы!$C$40</f>
        <v>0.5</v>
      </c>
      <c r="I96" s="18">
        <f>MIN(G96,H96,(Входы!$C$30/12/Входы!$C$80)/Входы!$C$41,MAX(0,Входы!$C$33/Входы!$C$55-L96+K96)/Входы!$C$41,MAX(0,Входы!$C$21-L96)/Входы!$C$41,MAX(0,Входы!$C$57-SUM(J85:J95))/Входы!$C$41,Входы!$C$106/Входы!$C$41)</f>
        <v>0.5</v>
      </c>
      <c r="J96" s="18">
        <f>I96*Входы!$C$41</f>
        <v>0.25</v>
      </c>
      <c r="K96" s="18">
        <f t="shared" si="25"/>
        <v>0</v>
      </c>
      <c r="L96" s="18">
        <f t="shared" si="23"/>
        <v>5.75</v>
      </c>
      <c r="M96" s="18">
        <f t="shared" si="17"/>
        <v>6</v>
      </c>
      <c r="N96" s="18">
        <f t="shared" si="18"/>
        <v>5.875</v>
      </c>
      <c r="O96" s="18">
        <f>I96*Входы!$C$40</f>
        <v>10</v>
      </c>
      <c r="P96" s="18">
        <f>J96*Входы!$C$80</f>
        <v>5</v>
      </c>
      <c r="Q96" s="18">
        <f>N96*Входы!$C$53/12</f>
        <v>5.875</v>
      </c>
      <c r="R96" s="8">
        <f>N96*Входы!$C$75</f>
        <v>146875</v>
      </c>
      <c r="S96" s="8">
        <f>J96*Входы!$C$77</f>
        <v>20000</v>
      </c>
      <c r="T96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6" s="8">
        <f>0</f>
        <v>0</v>
      </c>
      <c r="V96" s="8">
        <f>Входы!$C$154</f>
        <v>10000</v>
      </c>
      <c r="W96" s="8">
        <f>IF(L96&gt;=Входы!$C$50,Входы!$C$51,0)</f>
        <v>0</v>
      </c>
      <c r="X96" s="8">
        <f>I96*Входы!$C$40*Входы!$C$81</f>
        <v>25000</v>
      </c>
      <c r="Y96" s="8">
        <f>J96*(Входы!$C$80*Входы!$C$81+Входы!$C$82)</f>
        <v>16250</v>
      </c>
      <c r="Z96" s="8">
        <f>J96*Входы!$C$96*Входы!$C$75*12</f>
        <v>7500</v>
      </c>
      <c r="AA96" s="8">
        <f>N96*Входы!$C$52</f>
        <v>14687.5</v>
      </c>
      <c r="AB96" s="8">
        <f t="shared" si="19"/>
        <v>101808.35</v>
      </c>
      <c r="AC96" s="8">
        <f t="shared" si="20"/>
        <v>65066.649999999994</v>
      </c>
      <c r="AD96" s="8">
        <f t="shared" si="24"/>
        <v>-104600.71999999994</v>
      </c>
      <c r="AE96" s="18">
        <f>ROUNDUP((T96+U96+V96+W96+(MIN(Входы!$C$57,Входы!$C$27/Входы!$C$40*Входы!$C$41,Входы!$C$30/Входы!$C$80,Входы!$C$106*12))/12*(Входы!$C$40*Входы!$C$81/Входы!$C$41+Входы!$C$96*Входы!$C$75*12))/(Входы!$C$75-Входы!$C$52),0)</f>
        <v>4</v>
      </c>
      <c r="AF96" s="24" t="str">
        <f t="shared" si="21"/>
        <v>Да</v>
      </c>
      <c r="AG96" s="8">
        <f t="shared" si="22"/>
        <v>45066.649999999994</v>
      </c>
    </row>
    <row r="97" spans="1:33" ht="38.25" x14ac:dyDescent="0.25">
      <c r="A97" s="2" t="s">
        <v>656</v>
      </c>
      <c r="B97" s="12">
        <v>29</v>
      </c>
      <c r="C97" s="2" t="s">
        <v>739</v>
      </c>
      <c r="D97" s="2" t="s">
        <v>740</v>
      </c>
      <c r="E97" s="18">
        <f>Входы!$C$36</f>
        <v>80</v>
      </c>
      <c r="F97" s="18">
        <f>E97*Входы!$C$37/Входы!$C$36</f>
        <v>24</v>
      </c>
      <c r="G97" s="18">
        <f>F97*Входы!$C$38/Входы!$C$37</f>
        <v>12</v>
      </c>
      <c r="H97" s="18">
        <f>Входы!$C$28/12/Входы!$C$40</f>
        <v>1</v>
      </c>
      <c r="I97" s="18">
        <f>MIN(G97,H97,(Входы!$C$31/12/Входы!$C$80)/Входы!$C$41,MAX(0,Входы!$C$34/Входы!$C$55-L97+K97)/Входы!$C$41,MAX(0,Входы!$C$22-L97)/Входы!$C$41,MAX(0,Входы!$C$58-0)/Входы!$C$41,Входы!$C$39/Входы!$C$41)</f>
        <v>1</v>
      </c>
      <c r="J97" s="18">
        <f>I97*Входы!$C$41</f>
        <v>0.5</v>
      </c>
      <c r="K97" s="18">
        <f t="shared" si="25"/>
        <v>0.25</v>
      </c>
      <c r="L97" s="18">
        <f t="shared" si="23"/>
        <v>6</v>
      </c>
      <c r="M97" s="18">
        <f t="shared" si="17"/>
        <v>6.25</v>
      </c>
      <c r="N97" s="18">
        <f t="shared" si="18"/>
        <v>6.125</v>
      </c>
      <c r="O97" s="18">
        <f>I97*Входы!$C$40</f>
        <v>20</v>
      </c>
      <c r="P97" s="18">
        <f>J97*Входы!$C$80</f>
        <v>10</v>
      </c>
      <c r="Q97" s="18">
        <f>N97*Входы!$C$53/12</f>
        <v>6.125</v>
      </c>
      <c r="R97" s="8">
        <f>N97*Входы!$C$75</f>
        <v>153125</v>
      </c>
      <c r="S97" s="8">
        <f>J97*Входы!$C$77</f>
        <v>40000</v>
      </c>
      <c r="T97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7" s="8">
        <f>0</f>
        <v>0</v>
      </c>
      <c r="V97" s="8">
        <f>Входы!$C$154</f>
        <v>10000</v>
      </c>
      <c r="W97" s="8">
        <f>IF(L97&gt;=Входы!$C$50,Входы!$C$51,0)</f>
        <v>0</v>
      </c>
      <c r="X97" s="8">
        <f>I97*Входы!$C$40*Входы!$C$81</f>
        <v>50000</v>
      </c>
      <c r="Y97" s="8">
        <f>J97*(Входы!$C$80*Входы!$C$81+Входы!$C$82)</f>
        <v>32500</v>
      </c>
      <c r="Z97" s="8">
        <f>J97*Входы!$C$96*Входы!$C$75*12</f>
        <v>15000</v>
      </c>
      <c r="AA97" s="8">
        <f>N97*Входы!$C$52</f>
        <v>15312.5</v>
      </c>
      <c r="AB97" s="8">
        <f t="shared" si="19"/>
        <v>151183.35</v>
      </c>
      <c r="AC97" s="8">
        <f t="shared" si="20"/>
        <v>41941.649999999994</v>
      </c>
      <c r="AD97" s="8">
        <f t="shared" si="24"/>
        <v>-62659.069999999949</v>
      </c>
      <c r="AE97" s="18">
        <f>ROUNDUP((T97+U97+V97+W97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97" s="24" t="str">
        <f t="shared" si="21"/>
        <v>Да</v>
      </c>
      <c r="AG97" s="8">
        <f t="shared" si="22"/>
        <v>1941.6499999999942</v>
      </c>
    </row>
    <row r="98" spans="1:33" ht="38.25" x14ac:dyDescent="0.25">
      <c r="A98" s="2" t="s">
        <v>656</v>
      </c>
      <c r="B98" s="12">
        <v>30</v>
      </c>
      <c r="C98" s="2" t="s">
        <v>739</v>
      </c>
      <c r="D98" s="2" t="s">
        <v>740</v>
      </c>
      <c r="E98" s="18">
        <f>Входы!$C$36</f>
        <v>80</v>
      </c>
      <c r="F98" s="18">
        <f>E98*Входы!$C$37/Входы!$C$36</f>
        <v>24</v>
      </c>
      <c r="G98" s="18">
        <f>F98*Входы!$C$38/Входы!$C$37</f>
        <v>12</v>
      </c>
      <c r="H98" s="18">
        <f>Входы!$C$28/12/Входы!$C$40</f>
        <v>1</v>
      </c>
      <c r="I98" s="18">
        <f>MIN(G98,H98,(Входы!$C$31/12/Входы!$C$80)/Входы!$C$41,MAX(0,Входы!$C$34/Входы!$C$55-L98+K98)/Входы!$C$41,MAX(0,Входы!$C$22-L98)/Входы!$C$41,MAX(0,Входы!$C$58-SUM(J97:J97))/Входы!$C$41,Входы!$C$39/Входы!$C$41)</f>
        <v>1</v>
      </c>
      <c r="J98" s="18">
        <f>I98*Входы!$C$41</f>
        <v>0.5</v>
      </c>
      <c r="K98" s="18">
        <f t="shared" si="25"/>
        <v>0.25</v>
      </c>
      <c r="L98" s="18">
        <f t="shared" si="23"/>
        <v>6.25</v>
      </c>
      <c r="M98" s="18">
        <f t="shared" si="17"/>
        <v>6.5</v>
      </c>
      <c r="N98" s="18">
        <f t="shared" si="18"/>
        <v>6.375</v>
      </c>
      <c r="O98" s="18">
        <f>I98*Входы!$C$40</f>
        <v>20</v>
      </c>
      <c r="P98" s="18">
        <f>J98*Входы!$C$80</f>
        <v>10</v>
      </c>
      <c r="Q98" s="18">
        <f>N98*Входы!$C$53/12</f>
        <v>6.375</v>
      </c>
      <c r="R98" s="8">
        <f>N98*Входы!$C$75</f>
        <v>159375</v>
      </c>
      <c r="S98" s="8">
        <f>J98*Входы!$C$77</f>
        <v>40000</v>
      </c>
      <c r="T98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8" s="8">
        <f>0</f>
        <v>0</v>
      </c>
      <c r="V98" s="8">
        <f>Входы!$C$154</f>
        <v>10000</v>
      </c>
      <c r="W98" s="8">
        <f>IF(L98&gt;=Входы!$C$50,Входы!$C$51,0)</f>
        <v>0</v>
      </c>
      <c r="X98" s="8">
        <f>I98*Входы!$C$40*Входы!$C$81</f>
        <v>50000</v>
      </c>
      <c r="Y98" s="8">
        <f>J98*(Входы!$C$80*Входы!$C$81+Входы!$C$82)</f>
        <v>32500</v>
      </c>
      <c r="Z98" s="8">
        <f>J98*Входы!$C$96*Входы!$C$75*12</f>
        <v>15000</v>
      </c>
      <c r="AA98" s="8">
        <f>N98*Входы!$C$52</f>
        <v>15937.5</v>
      </c>
      <c r="AB98" s="8">
        <f t="shared" si="19"/>
        <v>151808.35</v>
      </c>
      <c r="AC98" s="8">
        <f t="shared" si="20"/>
        <v>47566.649999999994</v>
      </c>
      <c r="AD98" s="8">
        <f t="shared" si="24"/>
        <v>-15092.419999999955</v>
      </c>
      <c r="AE98" s="18">
        <f>ROUNDUP((T98+U98+V98+W98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98" s="24" t="str">
        <f t="shared" si="21"/>
        <v>Да</v>
      </c>
      <c r="AG98" s="8">
        <f t="shared" si="22"/>
        <v>7566.6499999999942</v>
      </c>
    </row>
    <row r="99" spans="1:33" ht="38.25" x14ac:dyDescent="0.25">
      <c r="A99" s="2" t="s">
        <v>656</v>
      </c>
      <c r="B99" s="12">
        <v>31</v>
      </c>
      <c r="C99" s="2" t="s">
        <v>739</v>
      </c>
      <c r="D99" s="2" t="s">
        <v>740</v>
      </c>
      <c r="E99" s="18">
        <f>Входы!$C$36</f>
        <v>80</v>
      </c>
      <c r="F99" s="18">
        <f>E99*Входы!$C$37/Входы!$C$36</f>
        <v>24</v>
      </c>
      <c r="G99" s="18">
        <f>F99*Входы!$C$38/Входы!$C$37</f>
        <v>12</v>
      </c>
      <c r="H99" s="18">
        <f>Входы!$C$28/12/Входы!$C$40</f>
        <v>1</v>
      </c>
      <c r="I99" s="18">
        <f>MIN(G99,H99,(Входы!$C$31/12/Входы!$C$80)/Входы!$C$41,MAX(0,Входы!$C$34/Входы!$C$55-L99+K99)/Входы!$C$41,MAX(0,Входы!$C$22-L99)/Входы!$C$41,MAX(0,Входы!$C$58-SUM(J97:J98))/Входы!$C$41,Входы!$C$39/Входы!$C$41)</f>
        <v>1</v>
      </c>
      <c r="J99" s="18">
        <f>I99*Входы!$C$41</f>
        <v>0.5</v>
      </c>
      <c r="K99" s="18">
        <f t="shared" si="25"/>
        <v>0.25</v>
      </c>
      <c r="L99" s="18">
        <f t="shared" si="23"/>
        <v>6.5</v>
      </c>
      <c r="M99" s="18">
        <f t="shared" si="17"/>
        <v>6.75</v>
      </c>
      <c r="N99" s="18">
        <f t="shared" si="18"/>
        <v>6.625</v>
      </c>
      <c r="O99" s="18">
        <f>I99*Входы!$C$40</f>
        <v>20</v>
      </c>
      <c r="P99" s="18">
        <f>J99*Входы!$C$80</f>
        <v>10</v>
      </c>
      <c r="Q99" s="18">
        <f>N99*Входы!$C$53/12</f>
        <v>6.625</v>
      </c>
      <c r="R99" s="8">
        <f>N99*Входы!$C$75</f>
        <v>165625</v>
      </c>
      <c r="S99" s="8">
        <f>J99*Входы!$C$77</f>
        <v>40000</v>
      </c>
      <c r="T99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99" s="8">
        <f>0</f>
        <v>0</v>
      </c>
      <c r="V99" s="8">
        <f>Входы!$C$154</f>
        <v>10000</v>
      </c>
      <c r="W99" s="8">
        <f>IF(L99&gt;=Входы!$C$50,Входы!$C$51,0)</f>
        <v>0</v>
      </c>
      <c r="X99" s="8">
        <f>I99*Входы!$C$40*Входы!$C$81</f>
        <v>50000</v>
      </c>
      <c r="Y99" s="8">
        <f>J99*(Входы!$C$80*Входы!$C$81+Входы!$C$82)</f>
        <v>32500</v>
      </c>
      <c r="Z99" s="8">
        <f>J99*Входы!$C$96*Входы!$C$75*12</f>
        <v>15000</v>
      </c>
      <c r="AA99" s="8">
        <f>N99*Входы!$C$52</f>
        <v>16562.5</v>
      </c>
      <c r="AB99" s="8">
        <f t="shared" si="19"/>
        <v>152433.35</v>
      </c>
      <c r="AC99" s="8">
        <f t="shared" si="20"/>
        <v>53191.649999999994</v>
      </c>
      <c r="AD99" s="8">
        <f t="shared" si="24"/>
        <v>38099.23000000004</v>
      </c>
      <c r="AE99" s="18">
        <f>ROUNDUP((T99+U99+V99+W99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99" s="24" t="str">
        <f t="shared" si="21"/>
        <v>Да</v>
      </c>
      <c r="AG99" s="8">
        <f t="shared" si="22"/>
        <v>13191.649999999994</v>
      </c>
    </row>
    <row r="100" spans="1:33" ht="38.25" x14ac:dyDescent="0.25">
      <c r="A100" s="2" t="s">
        <v>656</v>
      </c>
      <c r="B100" s="12">
        <v>32</v>
      </c>
      <c r="C100" s="2" t="s">
        <v>739</v>
      </c>
      <c r="D100" s="2" t="s">
        <v>740</v>
      </c>
      <c r="E100" s="18">
        <f>Входы!$C$36</f>
        <v>80</v>
      </c>
      <c r="F100" s="18">
        <f>E100*Входы!$C$37/Входы!$C$36</f>
        <v>24</v>
      </c>
      <c r="G100" s="18">
        <f>F100*Входы!$C$38/Входы!$C$37</f>
        <v>12</v>
      </c>
      <c r="H100" s="18">
        <f>Входы!$C$28/12/Входы!$C$40</f>
        <v>1</v>
      </c>
      <c r="I100" s="18">
        <f>MIN(G100,H100,(Входы!$C$31/12/Входы!$C$80)/Входы!$C$41,MAX(0,Входы!$C$34/Входы!$C$55-L100+K100)/Входы!$C$41,MAX(0,Входы!$C$22-L100)/Входы!$C$41,MAX(0,Входы!$C$58-SUM(J97:J99))/Входы!$C$41,Входы!$C$39/Входы!$C$41)</f>
        <v>1</v>
      </c>
      <c r="J100" s="18">
        <f>I100*Входы!$C$41</f>
        <v>0.5</v>
      </c>
      <c r="K100" s="18">
        <f t="shared" si="25"/>
        <v>0.25</v>
      </c>
      <c r="L100" s="18">
        <f t="shared" si="23"/>
        <v>6.75</v>
      </c>
      <c r="M100" s="18">
        <f t="shared" si="17"/>
        <v>7</v>
      </c>
      <c r="N100" s="18">
        <f t="shared" si="18"/>
        <v>6.875</v>
      </c>
      <c r="O100" s="18">
        <f>I100*Входы!$C$40</f>
        <v>20</v>
      </c>
      <c r="P100" s="18">
        <f>J100*Входы!$C$80</f>
        <v>10</v>
      </c>
      <c r="Q100" s="18">
        <f>N100*Входы!$C$53/12</f>
        <v>6.875</v>
      </c>
      <c r="R100" s="8">
        <f>N100*Входы!$C$75</f>
        <v>171875</v>
      </c>
      <c r="S100" s="8">
        <f>J100*Входы!$C$77</f>
        <v>40000</v>
      </c>
      <c r="T100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0" s="8">
        <f>0</f>
        <v>0</v>
      </c>
      <c r="V100" s="8">
        <f>Входы!$C$154</f>
        <v>10000</v>
      </c>
      <c r="W100" s="8">
        <f>IF(L100&gt;=Входы!$C$50,Входы!$C$51,0)</f>
        <v>0</v>
      </c>
      <c r="X100" s="8">
        <f>I100*Входы!$C$40*Входы!$C$81</f>
        <v>50000</v>
      </c>
      <c r="Y100" s="8">
        <f>J100*(Входы!$C$80*Входы!$C$81+Входы!$C$82)</f>
        <v>32500</v>
      </c>
      <c r="Z100" s="8">
        <f>J100*Входы!$C$96*Входы!$C$75*12</f>
        <v>15000</v>
      </c>
      <c r="AA100" s="8">
        <f>N100*Входы!$C$52</f>
        <v>17187.5</v>
      </c>
      <c r="AB100" s="8">
        <f t="shared" si="19"/>
        <v>153058.35</v>
      </c>
      <c r="AC100" s="8">
        <f t="shared" si="20"/>
        <v>58816.649999999994</v>
      </c>
      <c r="AD100" s="8">
        <f t="shared" si="24"/>
        <v>96915.880000000034</v>
      </c>
      <c r="AE100" s="18">
        <f>ROUNDUP((T100+U100+V100+W100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0" s="24" t="str">
        <f t="shared" si="21"/>
        <v>Да</v>
      </c>
      <c r="AG100" s="8">
        <f t="shared" si="22"/>
        <v>18816.649999999994</v>
      </c>
    </row>
    <row r="101" spans="1:33" ht="38.25" x14ac:dyDescent="0.25">
      <c r="A101" s="2" t="s">
        <v>656</v>
      </c>
      <c r="B101" s="12">
        <v>33</v>
      </c>
      <c r="C101" s="2" t="s">
        <v>739</v>
      </c>
      <c r="D101" s="2" t="s">
        <v>740</v>
      </c>
      <c r="E101" s="18">
        <f>Входы!$C$36</f>
        <v>80</v>
      </c>
      <c r="F101" s="18">
        <f>E101*Входы!$C$37/Входы!$C$36</f>
        <v>24</v>
      </c>
      <c r="G101" s="18">
        <f>F101*Входы!$C$38/Входы!$C$37</f>
        <v>12</v>
      </c>
      <c r="H101" s="18">
        <f>Входы!$C$28/12/Входы!$C$40</f>
        <v>1</v>
      </c>
      <c r="I101" s="18">
        <f>MIN(G101,H101,(Входы!$C$31/12/Входы!$C$80)/Входы!$C$41,MAX(0,Входы!$C$34/Входы!$C$55-L101+K101)/Входы!$C$41,MAX(0,Входы!$C$22-L101)/Входы!$C$41,MAX(0,Входы!$C$58-SUM(J97:J100))/Входы!$C$41,Входы!$C$39/Входы!$C$41)</f>
        <v>1</v>
      </c>
      <c r="J101" s="18">
        <f>I101*Входы!$C$41</f>
        <v>0.5</v>
      </c>
      <c r="K101" s="18">
        <f t="shared" si="25"/>
        <v>0.25</v>
      </c>
      <c r="L101" s="18">
        <f t="shared" si="23"/>
        <v>7</v>
      </c>
      <c r="M101" s="18">
        <f t="shared" ref="M101:M132" si="26">MAX(0,L101+J101-K101)</f>
        <v>7.25</v>
      </c>
      <c r="N101" s="18">
        <f t="shared" ref="N101:N132" si="27">(L101+M101)/2</f>
        <v>7.125</v>
      </c>
      <c r="O101" s="18">
        <f>I101*Входы!$C$40</f>
        <v>20</v>
      </c>
      <c r="P101" s="18">
        <f>J101*Входы!$C$80</f>
        <v>10</v>
      </c>
      <c r="Q101" s="18">
        <f>N101*Входы!$C$53/12</f>
        <v>7.125</v>
      </c>
      <c r="R101" s="8">
        <f>N101*Входы!$C$75</f>
        <v>178125</v>
      </c>
      <c r="S101" s="8">
        <f>J101*Входы!$C$77</f>
        <v>40000</v>
      </c>
      <c r="T101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1" s="8">
        <f>0</f>
        <v>0</v>
      </c>
      <c r="V101" s="8">
        <f>Входы!$C$154</f>
        <v>10000</v>
      </c>
      <c r="W101" s="8">
        <f>IF(L101&gt;=Входы!$C$50,Входы!$C$51,0)</f>
        <v>0</v>
      </c>
      <c r="X101" s="8">
        <f>I101*Входы!$C$40*Входы!$C$81</f>
        <v>50000</v>
      </c>
      <c r="Y101" s="8">
        <f>J101*(Входы!$C$80*Входы!$C$81+Входы!$C$82)</f>
        <v>32500</v>
      </c>
      <c r="Z101" s="8">
        <f>J101*Входы!$C$96*Входы!$C$75*12</f>
        <v>15000</v>
      </c>
      <c r="AA101" s="8">
        <f>N101*Входы!$C$52</f>
        <v>17812.5</v>
      </c>
      <c r="AB101" s="8">
        <f t="shared" ref="AB101:AB132" si="28">SUM(T101:AA101)</f>
        <v>153683.35</v>
      </c>
      <c r="AC101" s="8">
        <f t="shared" ref="AC101:AC132" si="29">SUM(R101:S101)-AB101</f>
        <v>64441.649999999994</v>
      </c>
      <c r="AD101" s="8">
        <f t="shared" si="24"/>
        <v>161357.53000000003</v>
      </c>
      <c r="AE101" s="18">
        <f>ROUNDUP((T101+U101+V101+W101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1" s="24" t="str">
        <f t="shared" ref="AF101:AF132" si="30">IF(AE101&gt;0,IF(M101&gt;=AE101,"Да","Нет"),"")</f>
        <v>Да</v>
      </c>
      <c r="AG101" s="8">
        <f t="shared" ref="AG101:AG132" si="31">R101-AB101</f>
        <v>24441.649999999994</v>
      </c>
    </row>
    <row r="102" spans="1:33" ht="38.25" x14ac:dyDescent="0.25">
      <c r="A102" s="2" t="s">
        <v>656</v>
      </c>
      <c r="B102" s="12">
        <v>34</v>
      </c>
      <c r="C102" s="2" t="s">
        <v>739</v>
      </c>
      <c r="D102" s="2" t="s">
        <v>740</v>
      </c>
      <c r="E102" s="18">
        <f>Входы!$C$36</f>
        <v>80</v>
      </c>
      <c r="F102" s="18">
        <f>E102*Входы!$C$37/Входы!$C$36</f>
        <v>24</v>
      </c>
      <c r="G102" s="18">
        <f>F102*Входы!$C$38/Входы!$C$37</f>
        <v>12</v>
      </c>
      <c r="H102" s="18">
        <f>Входы!$C$28/12/Входы!$C$40</f>
        <v>1</v>
      </c>
      <c r="I102" s="18">
        <f>MIN(G102,H102,(Входы!$C$31/12/Входы!$C$80)/Входы!$C$41,MAX(0,Входы!$C$34/Входы!$C$55-L102+K102)/Входы!$C$41,MAX(0,Входы!$C$22-L102)/Входы!$C$41,MAX(0,Входы!$C$58-SUM(J97:J101))/Входы!$C$41,Входы!$C$39/Входы!$C$41)</f>
        <v>1</v>
      </c>
      <c r="J102" s="18">
        <f>I102*Входы!$C$41</f>
        <v>0.5</v>
      </c>
      <c r="K102" s="18">
        <f t="shared" si="25"/>
        <v>0.25</v>
      </c>
      <c r="L102" s="18">
        <f t="shared" ref="L102:L132" si="32">M101</f>
        <v>7.25</v>
      </c>
      <c r="M102" s="18">
        <f t="shared" si="26"/>
        <v>7.5</v>
      </c>
      <c r="N102" s="18">
        <f t="shared" si="27"/>
        <v>7.375</v>
      </c>
      <c r="O102" s="18">
        <f>I102*Входы!$C$40</f>
        <v>20</v>
      </c>
      <c r="P102" s="18">
        <f>J102*Входы!$C$80</f>
        <v>10</v>
      </c>
      <c r="Q102" s="18">
        <f>N102*Входы!$C$53/12</f>
        <v>7.375</v>
      </c>
      <c r="R102" s="8">
        <f>N102*Входы!$C$75</f>
        <v>184375</v>
      </c>
      <c r="S102" s="8">
        <f>J102*Входы!$C$77</f>
        <v>40000</v>
      </c>
      <c r="T102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2" s="8">
        <f>0</f>
        <v>0</v>
      </c>
      <c r="V102" s="8">
        <f>Входы!$C$154</f>
        <v>10000</v>
      </c>
      <c r="W102" s="8">
        <f>IF(L102&gt;=Входы!$C$50,Входы!$C$51,0)</f>
        <v>0</v>
      </c>
      <c r="X102" s="8">
        <f>I102*Входы!$C$40*Входы!$C$81</f>
        <v>50000</v>
      </c>
      <c r="Y102" s="8">
        <f>J102*(Входы!$C$80*Входы!$C$81+Входы!$C$82)</f>
        <v>32500</v>
      </c>
      <c r="Z102" s="8">
        <f>J102*Входы!$C$96*Входы!$C$75*12</f>
        <v>15000</v>
      </c>
      <c r="AA102" s="8">
        <f>N102*Входы!$C$52</f>
        <v>18437.5</v>
      </c>
      <c r="AB102" s="8">
        <f t="shared" si="28"/>
        <v>154308.35</v>
      </c>
      <c r="AC102" s="8">
        <f t="shared" si="29"/>
        <v>70066.649999999994</v>
      </c>
      <c r="AD102" s="8">
        <f t="shared" ref="AD102:AD133" si="33">AD101+AC102</f>
        <v>231424.18000000002</v>
      </c>
      <c r="AE102" s="18">
        <f>ROUNDUP((T102+U102+V102+W102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2" s="24" t="str">
        <f t="shared" si="30"/>
        <v>Да</v>
      </c>
      <c r="AG102" s="8">
        <f t="shared" si="31"/>
        <v>30066.649999999994</v>
      </c>
    </row>
    <row r="103" spans="1:33" ht="38.25" x14ac:dyDescent="0.25">
      <c r="A103" s="2" t="s">
        <v>656</v>
      </c>
      <c r="B103" s="12">
        <v>35</v>
      </c>
      <c r="C103" s="2" t="s">
        <v>739</v>
      </c>
      <c r="D103" s="2" t="s">
        <v>740</v>
      </c>
      <c r="E103" s="18">
        <f>Входы!$C$36</f>
        <v>80</v>
      </c>
      <c r="F103" s="18">
        <f>E103*Входы!$C$37/Входы!$C$36</f>
        <v>24</v>
      </c>
      <c r="G103" s="18">
        <f>F103*Входы!$C$38/Входы!$C$37</f>
        <v>12</v>
      </c>
      <c r="H103" s="18">
        <f>Входы!$C$28/12/Входы!$C$40</f>
        <v>1</v>
      </c>
      <c r="I103" s="18">
        <f>MIN(G103,H103,(Входы!$C$31/12/Входы!$C$80)/Входы!$C$41,MAX(0,Входы!$C$34/Входы!$C$55-L103+K103)/Входы!$C$41,MAX(0,Входы!$C$22-L103)/Входы!$C$41,MAX(0,Входы!$C$58-SUM(J97:J102))/Входы!$C$41,Входы!$C$39/Входы!$C$41)</f>
        <v>1</v>
      </c>
      <c r="J103" s="18">
        <f>I103*Входы!$C$41</f>
        <v>0.5</v>
      </c>
      <c r="K103" s="18">
        <f t="shared" si="25"/>
        <v>0.25</v>
      </c>
      <c r="L103" s="18">
        <f t="shared" si="32"/>
        <v>7.5</v>
      </c>
      <c r="M103" s="18">
        <f t="shared" si="26"/>
        <v>7.75</v>
      </c>
      <c r="N103" s="18">
        <f t="shared" si="27"/>
        <v>7.625</v>
      </c>
      <c r="O103" s="18">
        <f>I103*Входы!$C$40</f>
        <v>20</v>
      </c>
      <c r="P103" s="18">
        <f>J103*Входы!$C$80</f>
        <v>10</v>
      </c>
      <c r="Q103" s="18">
        <f>N103*Входы!$C$53/12</f>
        <v>7.625</v>
      </c>
      <c r="R103" s="8">
        <f>N103*Входы!$C$75</f>
        <v>190625</v>
      </c>
      <c r="S103" s="8">
        <f>J103*Входы!$C$77</f>
        <v>40000</v>
      </c>
      <c r="T103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3" s="8">
        <f>0</f>
        <v>0</v>
      </c>
      <c r="V103" s="8">
        <f>Входы!$C$154</f>
        <v>10000</v>
      </c>
      <c r="W103" s="8">
        <f>IF(L103&gt;=Входы!$C$50,Входы!$C$51,0)</f>
        <v>0</v>
      </c>
      <c r="X103" s="8">
        <f>I103*Входы!$C$40*Входы!$C$81</f>
        <v>50000</v>
      </c>
      <c r="Y103" s="8">
        <f>J103*(Входы!$C$80*Входы!$C$81+Входы!$C$82)</f>
        <v>32500</v>
      </c>
      <c r="Z103" s="8">
        <f>J103*Входы!$C$96*Входы!$C$75*12</f>
        <v>15000</v>
      </c>
      <c r="AA103" s="8">
        <f>N103*Входы!$C$52</f>
        <v>19062.5</v>
      </c>
      <c r="AB103" s="8">
        <f t="shared" si="28"/>
        <v>154933.35</v>
      </c>
      <c r="AC103" s="8">
        <f t="shared" si="29"/>
        <v>75691.649999999994</v>
      </c>
      <c r="AD103" s="8">
        <f t="shared" si="33"/>
        <v>307115.83</v>
      </c>
      <c r="AE103" s="18">
        <f>ROUNDUP((T103+U103+V103+W103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3" s="24" t="str">
        <f t="shared" si="30"/>
        <v>Да</v>
      </c>
      <c r="AG103" s="8">
        <f t="shared" si="31"/>
        <v>35691.649999999994</v>
      </c>
    </row>
    <row r="104" spans="1:33" ht="38.25" x14ac:dyDescent="0.25">
      <c r="A104" s="2" t="s">
        <v>656</v>
      </c>
      <c r="B104" s="12">
        <v>36</v>
      </c>
      <c r="C104" s="2" t="s">
        <v>739</v>
      </c>
      <c r="D104" s="2" t="s">
        <v>740</v>
      </c>
      <c r="E104" s="18">
        <f>Входы!$C$36</f>
        <v>80</v>
      </c>
      <c r="F104" s="18">
        <f>E104*Входы!$C$37/Входы!$C$36</f>
        <v>24</v>
      </c>
      <c r="G104" s="18">
        <f>F104*Входы!$C$38/Входы!$C$37</f>
        <v>12</v>
      </c>
      <c r="H104" s="18">
        <f>Входы!$C$28/12/Входы!$C$40</f>
        <v>1</v>
      </c>
      <c r="I104" s="18">
        <f>MIN(G104,H104,(Входы!$C$31/12/Входы!$C$80)/Входы!$C$41,MAX(0,Входы!$C$34/Входы!$C$55-L104+K104)/Входы!$C$41,MAX(0,Входы!$C$22-L104)/Входы!$C$41,MAX(0,Входы!$C$58-SUM(J97:J103))/Входы!$C$41,Входы!$C$39/Входы!$C$41)</f>
        <v>1</v>
      </c>
      <c r="J104" s="18">
        <f>I104*Входы!$C$41</f>
        <v>0.5</v>
      </c>
      <c r="K104" s="18">
        <f t="shared" si="25"/>
        <v>0.25</v>
      </c>
      <c r="L104" s="18">
        <f t="shared" si="32"/>
        <v>7.75</v>
      </c>
      <c r="M104" s="18">
        <f t="shared" si="26"/>
        <v>8</v>
      </c>
      <c r="N104" s="18">
        <f t="shared" si="27"/>
        <v>7.875</v>
      </c>
      <c r="O104" s="18">
        <f>I104*Входы!$C$40</f>
        <v>20</v>
      </c>
      <c r="P104" s="18">
        <f>J104*Входы!$C$80</f>
        <v>10</v>
      </c>
      <c r="Q104" s="18">
        <f>N104*Входы!$C$53/12</f>
        <v>7.875</v>
      </c>
      <c r="R104" s="8">
        <f>N104*Входы!$C$75</f>
        <v>196875</v>
      </c>
      <c r="S104" s="8">
        <f>J104*Входы!$C$77</f>
        <v>40000</v>
      </c>
      <c r="T104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4" s="8">
        <f>0</f>
        <v>0</v>
      </c>
      <c r="V104" s="8">
        <f>Входы!$C$154</f>
        <v>10000</v>
      </c>
      <c r="W104" s="8">
        <f>IF(L104&gt;=Входы!$C$50,Входы!$C$51,0)</f>
        <v>0</v>
      </c>
      <c r="X104" s="8">
        <f>I104*Входы!$C$40*Входы!$C$81</f>
        <v>50000</v>
      </c>
      <c r="Y104" s="8">
        <f>J104*(Входы!$C$80*Входы!$C$81+Входы!$C$82)</f>
        <v>32500</v>
      </c>
      <c r="Z104" s="8">
        <f>J104*Входы!$C$96*Входы!$C$75*12</f>
        <v>15000</v>
      </c>
      <c r="AA104" s="8">
        <f>N104*Входы!$C$52</f>
        <v>19687.5</v>
      </c>
      <c r="AB104" s="8">
        <f t="shared" si="28"/>
        <v>155558.35</v>
      </c>
      <c r="AC104" s="8">
        <f t="shared" si="29"/>
        <v>81316.649999999994</v>
      </c>
      <c r="AD104" s="8">
        <f t="shared" si="33"/>
        <v>388432.48</v>
      </c>
      <c r="AE104" s="18">
        <f>ROUNDUP((T104+U104+V104+W104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4" s="24" t="str">
        <f t="shared" si="30"/>
        <v>Да</v>
      </c>
      <c r="AG104" s="8">
        <f t="shared" si="31"/>
        <v>41316.649999999994</v>
      </c>
    </row>
    <row r="105" spans="1:33" ht="38.25" x14ac:dyDescent="0.25">
      <c r="A105" s="2" t="s">
        <v>656</v>
      </c>
      <c r="B105" s="12">
        <v>37</v>
      </c>
      <c r="C105" s="2" t="s">
        <v>739</v>
      </c>
      <c r="D105" s="2" t="s">
        <v>740</v>
      </c>
      <c r="E105" s="18">
        <f>Входы!$C$36</f>
        <v>80</v>
      </c>
      <c r="F105" s="18">
        <f>E105*Входы!$C$37/Входы!$C$36</f>
        <v>24</v>
      </c>
      <c r="G105" s="18">
        <f>F105*Входы!$C$38/Входы!$C$37</f>
        <v>12</v>
      </c>
      <c r="H105" s="18">
        <f>Входы!$C$28/12/Входы!$C$40</f>
        <v>1</v>
      </c>
      <c r="I105" s="18">
        <f>MIN(G105,H105,(Входы!$C$31/12/Входы!$C$80)/Входы!$C$41,MAX(0,Входы!$C$34/Входы!$C$55-L105+K105)/Входы!$C$41,MAX(0,Входы!$C$22-L105)/Входы!$C$41,MAX(0,Входы!$C$58-SUM(J97:J104))/Входы!$C$41,Входы!$C$39/Входы!$C$41)</f>
        <v>1</v>
      </c>
      <c r="J105" s="18">
        <f>I105*Входы!$C$41</f>
        <v>0.5</v>
      </c>
      <c r="K105" s="18">
        <f t="shared" si="25"/>
        <v>0.25</v>
      </c>
      <c r="L105" s="18">
        <f t="shared" si="32"/>
        <v>8</v>
      </c>
      <c r="M105" s="18">
        <f t="shared" si="26"/>
        <v>8.25</v>
      </c>
      <c r="N105" s="18">
        <f t="shared" si="27"/>
        <v>8.125</v>
      </c>
      <c r="O105" s="18">
        <f>I105*Входы!$C$40</f>
        <v>20</v>
      </c>
      <c r="P105" s="18">
        <f>J105*Входы!$C$80</f>
        <v>10</v>
      </c>
      <c r="Q105" s="18">
        <f>N105*Входы!$C$53/12</f>
        <v>8.125</v>
      </c>
      <c r="R105" s="8">
        <f>N105*Входы!$C$75</f>
        <v>203125</v>
      </c>
      <c r="S105" s="8">
        <f>J105*Входы!$C$77</f>
        <v>40000</v>
      </c>
      <c r="T105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5" s="8">
        <f>0</f>
        <v>0</v>
      </c>
      <c r="V105" s="8">
        <f>Входы!$C$154</f>
        <v>10000</v>
      </c>
      <c r="W105" s="8">
        <f>IF(L105&gt;=Входы!$C$50,Входы!$C$51,0)</f>
        <v>0</v>
      </c>
      <c r="X105" s="8">
        <f>I105*Входы!$C$40*Входы!$C$81</f>
        <v>50000</v>
      </c>
      <c r="Y105" s="8">
        <f>J105*(Входы!$C$80*Входы!$C$81+Входы!$C$82)</f>
        <v>32500</v>
      </c>
      <c r="Z105" s="8">
        <f>J105*Входы!$C$96*Входы!$C$75*12</f>
        <v>15000</v>
      </c>
      <c r="AA105" s="8">
        <f>N105*Входы!$C$52</f>
        <v>20312.5</v>
      </c>
      <c r="AB105" s="8">
        <f t="shared" si="28"/>
        <v>156183.35</v>
      </c>
      <c r="AC105" s="8">
        <f t="shared" si="29"/>
        <v>86941.65</v>
      </c>
      <c r="AD105" s="8">
        <f t="shared" si="33"/>
        <v>475374.13</v>
      </c>
      <c r="AE105" s="18">
        <f>ROUNDUP((T105+U105+V105+W105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5" s="24" t="str">
        <f t="shared" si="30"/>
        <v>Да</v>
      </c>
      <c r="AG105" s="8">
        <f t="shared" si="31"/>
        <v>46941.649999999994</v>
      </c>
    </row>
    <row r="106" spans="1:33" ht="38.25" x14ac:dyDescent="0.25">
      <c r="A106" s="2" t="s">
        <v>656</v>
      </c>
      <c r="B106" s="12">
        <v>38</v>
      </c>
      <c r="C106" s="2" t="s">
        <v>739</v>
      </c>
      <c r="D106" s="2" t="s">
        <v>740</v>
      </c>
      <c r="E106" s="18">
        <f>Входы!$C$36</f>
        <v>80</v>
      </c>
      <c r="F106" s="18">
        <f>E106*Входы!$C$37/Входы!$C$36</f>
        <v>24</v>
      </c>
      <c r="G106" s="18">
        <f>F106*Входы!$C$38/Входы!$C$37</f>
        <v>12</v>
      </c>
      <c r="H106" s="18">
        <f>Входы!$C$28/12/Входы!$C$40</f>
        <v>1</v>
      </c>
      <c r="I106" s="18">
        <f>MIN(G106,H106,(Входы!$C$31/12/Входы!$C$80)/Входы!$C$41,MAX(0,Входы!$C$34/Входы!$C$55-L106+K106)/Входы!$C$41,MAX(0,Входы!$C$22-L106)/Входы!$C$41,MAX(0,Входы!$C$58-SUM(J97:J105))/Входы!$C$41,Входы!$C$39/Входы!$C$41)</f>
        <v>1</v>
      </c>
      <c r="J106" s="18">
        <f>I106*Входы!$C$41</f>
        <v>0.5</v>
      </c>
      <c r="K106" s="18">
        <f t="shared" si="25"/>
        <v>0.25</v>
      </c>
      <c r="L106" s="18">
        <f t="shared" si="32"/>
        <v>8.25</v>
      </c>
      <c r="M106" s="18">
        <f t="shared" si="26"/>
        <v>8.5</v>
      </c>
      <c r="N106" s="18">
        <f t="shared" si="27"/>
        <v>8.375</v>
      </c>
      <c r="O106" s="18">
        <f>I106*Входы!$C$40</f>
        <v>20</v>
      </c>
      <c r="P106" s="18">
        <f>J106*Входы!$C$80</f>
        <v>10</v>
      </c>
      <c r="Q106" s="18">
        <f>N106*Входы!$C$53/12</f>
        <v>8.375</v>
      </c>
      <c r="R106" s="8">
        <f>N106*Входы!$C$75</f>
        <v>209375</v>
      </c>
      <c r="S106" s="8">
        <f>J106*Входы!$C$77</f>
        <v>40000</v>
      </c>
      <c r="T106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6" s="8">
        <f>0</f>
        <v>0</v>
      </c>
      <c r="V106" s="8">
        <f>Входы!$C$154</f>
        <v>10000</v>
      </c>
      <c r="W106" s="8">
        <f>IF(L106&gt;=Входы!$C$50,Входы!$C$51,0)</f>
        <v>0</v>
      </c>
      <c r="X106" s="8">
        <f>I106*Входы!$C$40*Входы!$C$81</f>
        <v>50000</v>
      </c>
      <c r="Y106" s="8">
        <f>J106*(Входы!$C$80*Входы!$C$81+Входы!$C$82)</f>
        <v>32500</v>
      </c>
      <c r="Z106" s="8">
        <f>J106*Входы!$C$96*Входы!$C$75*12</f>
        <v>15000</v>
      </c>
      <c r="AA106" s="8">
        <f>N106*Входы!$C$52</f>
        <v>20937.5</v>
      </c>
      <c r="AB106" s="8">
        <f t="shared" si="28"/>
        <v>156808.35</v>
      </c>
      <c r="AC106" s="8">
        <f t="shared" si="29"/>
        <v>92566.65</v>
      </c>
      <c r="AD106" s="8">
        <f t="shared" si="33"/>
        <v>567940.78</v>
      </c>
      <c r="AE106" s="18">
        <f>ROUNDUP((T106+U106+V106+W106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6" s="24" t="str">
        <f t="shared" si="30"/>
        <v>Да</v>
      </c>
      <c r="AG106" s="8">
        <f t="shared" si="31"/>
        <v>52566.649999999994</v>
      </c>
    </row>
    <row r="107" spans="1:33" ht="38.25" x14ac:dyDescent="0.25">
      <c r="A107" s="2" t="s">
        <v>656</v>
      </c>
      <c r="B107" s="12">
        <v>39</v>
      </c>
      <c r="C107" s="2" t="s">
        <v>739</v>
      </c>
      <c r="D107" s="2" t="s">
        <v>740</v>
      </c>
      <c r="E107" s="18">
        <f>Входы!$C$36</f>
        <v>80</v>
      </c>
      <c r="F107" s="18">
        <f>E107*Входы!$C$37/Входы!$C$36</f>
        <v>24</v>
      </c>
      <c r="G107" s="18">
        <f>F107*Входы!$C$38/Входы!$C$37</f>
        <v>12</v>
      </c>
      <c r="H107" s="18">
        <f>Входы!$C$28/12/Входы!$C$40</f>
        <v>1</v>
      </c>
      <c r="I107" s="18">
        <f>MIN(G107,H107,(Входы!$C$31/12/Входы!$C$80)/Входы!$C$41,MAX(0,Входы!$C$34/Входы!$C$55-L107+K107)/Входы!$C$41,MAX(0,Входы!$C$22-L107)/Входы!$C$41,MAX(0,Входы!$C$58-SUM(J97:J106))/Входы!$C$41,Входы!$C$39/Входы!$C$41)</f>
        <v>1</v>
      </c>
      <c r="J107" s="18">
        <f>I107*Входы!$C$41</f>
        <v>0.5</v>
      </c>
      <c r="K107" s="18">
        <f t="shared" si="25"/>
        <v>0.25</v>
      </c>
      <c r="L107" s="18">
        <f t="shared" si="32"/>
        <v>8.5</v>
      </c>
      <c r="M107" s="18">
        <f t="shared" si="26"/>
        <v>8.75</v>
      </c>
      <c r="N107" s="18">
        <f t="shared" si="27"/>
        <v>8.625</v>
      </c>
      <c r="O107" s="18">
        <f>I107*Входы!$C$40</f>
        <v>20</v>
      </c>
      <c r="P107" s="18">
        <f>J107*Входы!$C$80</f>
        <v>10</v>
      </c>
      <c r="Q107" s="18">
        <f>N107*Входы!$C$53/12</f>
        <v>8.625</v>
      </c>
      <c r="R107" s="8">
        <f>N107*Входы!$C$75</f>
        <v>215625</v>
      </c>
      <c r="S107" s="8">
        <f>J107*Входы!$C$77</f>
        <v>40000</v>
      </c>
      <c r="T107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7" s="8">
        <f>0</f>
        <v>0</v>
      </c>
      <c r="V107" s="8">
        <f>Входы!$C$154</f>
        <v>10000</v>
      </c>
      <c r="W107" s="8">
        <f>IF(L107&gt;=Входы!$C$50,Входы!$C$51,0)</f>
        <v>0</v>
      </c>
      <c r="X107" s="8">
        <f>I107*Входы!$C$40*Входы!$C$81</f>
        <v>50000</v>
      </c>
      <c r="Y107" s="8">
        <f>J107*(Входы!$C$80*Входы!$C$81+Входы!$C$82)</f>
        <v>32500</v>
      </c>
      <c r="Z107" s="8">
        <f>J107*Входы!$C$96*Входы!$C$75*12</f>
        <v>15000</v>
      </c>
      <c r="AA107" s="8">
        <f>N107*Входы!$C$52</f>
        <v>21562.5</v>
      </c>
      <c r="AB107" s="8">
        <f t="shared" si="28"/>
        <v>157433.35</v>
      </c>
      <c r="AC107" s="8">
        <f t="shared" si="29"/>
        <v>98191.65</v>
      </c>
      <c r="AD107" s="8">
        <f t="shared" si="33"/>
        <v>666132.43000000005</v>
      </c>
      <c r="AE107" s="18">
        <f>ROUNDUP((T107+U107+V107+W107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7" s="24" t="str">
        <f t="shared" si="30"/>
        <v>Да</v>
      </c>
      <c r="AG107" s="8">
        <f t="shared" si="31"/>
        <v>58191.649999999994</v>
      </c>
    </row>
    <row r="108" spans="1:33" ht="38.25" x14ac:dyDescent="0.25">
      <c r="A108" s="2" t="s">
        <v>656</v>
      </c>
      <c r="B108" s="12">
        <v>40</v>
      </c>
      <c r="C108" s="2" t="s">
        <v>739</v>
      </c>
      <c r="D108" s="2" t="s">
        <v>740</v>
      </c>
      <c r="E108" s="18">
        <f>Входы!$C$36</f>
        <v>80</v>
      </c>
      <c r="F108" s="18">
        <f>E108*Входы!$C$37/Входы!$C$36</f>
        <v>24</v>
      </c>
      <c r="G108" s="18">
        <f>F108*Входы!$C$38/Входы!$C$37</f>
        <v>12</v>
      </c>
      <c r="H108" s="18">
        <f>Входы!$C$28/12/Входы!$C$40</f>
        <v>1</v>
      </c>
      <c r="I108" s="18">
        <f>MIN(G108,H108,(Входы!$C$31/12/Входы!$C$80)/Входы!$C$41,MAX(0,Входы!$C$34/Входы!$C$55-L108+K108)/Входы!$C$41,MAX(0,Входы!$C$22-L108)/Входы!$C$41,MAX(0,Входы!$C$58-SUM(J97:J107))/Входы!$C$41,Входы!$C$39/Входы!$C$41)</f>
        <v>1</v>
      </c>
      <c r="J108" s="18">
        <f>I108*Входы!$C$41</f>
        <v>0.5</v>
      </c>
      <c r="K108" s="18">
        <f t="shared" si="25"/>
        <v>0.25</v>
      </c>
      <c r="L108" s="18">
        <f t="shared" si="32"/>
        <v>8.75</v>
      </c>
      <c r="M108" s="18">
        <f t="shared" si="26"/>
        <v>9</v>
      </c>
      <c r="N108" s="18">
        <f t="shared" si="27"/>
        <v>8.875</v>
      </c>
      <c r="O108" s="18">
        <f>I108*Входы!$C$40</f>
        <v>20</v>
      </c>
      <c r="P108" s="18">
        <f>J108*Входы!$C$80</f>
        <v>10</v>
      </c>
      <c r="Q108" s="18">
        <f>N108*Входы!$C$53/12</f>
        <v>8.875</v>
      </c>
      <c r="R108" s="8">
        <f>N108*Входы!$C$75</f>
        <v>221875</v>
      </c>
      <c r="S108" s="8">
        <f>J108*Входы!$C$77</f>
        <v>40000</v>
      </c>
      <c r="T108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8" s="8">
        <f>0</f>
        <v>0</v>
      </c>
      <c r="V108" s="8">
        <f>Входы!$C$154</f>
        <v>10000</v>
      </c>
      <c r="W108" s="8">
        <f>IF(L108&gt;=Входы!$C$50,Входы!$C$51,0)</f>
        <v>0</v>
      </c>
      <c r="X108" s="8">
        <f>I108*Входы!$C$40*Входы!$C$81</f>
        <v>50000</v>
      </c>
      <c r="Y108" s="8">
        <f>J108*(Входы!$C$80*Входы!$C$81+Входы!$C$82)</f>
        <v>32500</v>
      </c>
      <c r="Z108" s="8">
        <f>J108*Входы!$C$96*Входы!$C$75*12</f>
        <v>15000</v>
      </c>
      <c r="AA108" s="8">
        <f>N108*Входы!$C$52</f>
        <v>22187.5</v>
      </c>
      <c r="AB108" s="8">
        <f t="shared" si="28"/>
        <v>158058.35</v>
      </c>
      <c r="AC108" s="8">
        <f t="shared" si="29"/>
        <v>103816.65</v>
      </c>
      <c r="AD108" s="8">
        <f t="shared" si="33"/>
        <v>769949.08000000007</v>
      </c>
      <c r="AE108" s="18">
        <f>ROUNDUP((T108+U108+V108+W108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8" s="24" t="str">
        <f t="shared" si="30"/>
        <v>Да</v>
      </c>
      <c r="AG108" s="8">
        <f t="shared" si="31"/>
        <v>63816.649999999994</v>
      </c>
    </row>
    <row r="109" spans="1:33" ht="38.25" x14ac:dyDescent="0.25">
      <c r="A109" s="2" t="s">
        <v>656</v>
      </c>
      <c r="B109" s="12">
        <v>41</v>
      </c>
      <c r="C109" s="2" t="s">
        <v>741</v>
      </c>
      <c r="D109" s="2" t="s">
        <v>740</v>
      </c>
      <c r="E109" s="18">
        <f>Входы!$C$36</f>
        <v>80</v>
      </c>
      <c r="F109" s="18">
        <f>E109*Входы!$C$37/Входы!$C$36</f>
        <v>24</v>
      </c>
      <c r="G109" s="18">
        <f>F109*Входы!$C$38/Входы!$C$37</f>
        <v>12</v>
      </c>
      <c r="H109" s="18">
        <f>Входы!$C$28/12/Входы!$C$40</f>
        <v>1</v>
      </c>
      <c r="I109" s="18">
        <f>MIN(G109,H109,(Входы!$C$31/12/Входы!$C$80)/Входы!$C$41,MAX(0,Входы!$C$34/Входы!$C$55-L109+K109)/Входы!$C$41,MAX(0,Входы!$C$22-L109)/Входы!$C$41,MAX(0,Входы!$C$58-0)/Входы!$C$41,Входы!$C$39/Входы!$C$41)</f>
        <v>1</v>
      </c>
      <c r="J109" s="18">
        <f>I109*Входы!$C$41</f>
        <v>0.5</v>
      </c>
      <c r="K109" s="18">
        <f t="shared" si="25"/>
        <v>0.25</v>
      </c>
      <c r="L109" s="18">
        <f t="shared" si="32"/>
        <v>9</v>
      </c>
      <c r="M109" s="18">
        <f t="shared" si="26"/>
        <v>9.25</v>
      </c>
      <c r="N109" s="18">
        <f t="shared" si="27"/>
        <v>9.125</v>
      </c>
      <c r="O109" s="18">
        <f>I109*Входы!$C$40</f>
        <v>20</v>
      </c>
      <c r="P109" s="18">
        <f>J109*Входы!$C$80</f>
        <v>10</v>
      </c>
      <c r="Q109" s="18">
        <f>N109*Входы!$C$53/12</f>
        <v>9.125</v>
      </c>
      <c r="R109" s="8">
        <f>N109*Входы!$C$75</f>
        <v>228125</v>
      </c>
      <c r="S109" s="8">
        <f>J109*Входы!$C$77</f>
        <v>40000</v>
      </c>
      <c r="T109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09" s="8">
        <f>0</f>
        <v>0</v>
      </c>
      <c r="V109" s="8">
        <f>Входы!$C$154</f>
        <v>10000</v>
      </c>
      <c r="W109" s="8">
        <f>IF(L109&gt;=Входы!$C$50,Входы!$C$51,0)</f>
        <v>0</v>
      </c>
      <c r="X109" s="8">
        <f>I109*Входы!$C$40*Входы!$C$81</f>
        <v>50000</v>
      </c>
      <c r="Y109" s="8">
        <f>J109*(Входы!$C$80*Входы!$C$81+Входы!$C$82)</f>
        <v>32500</v>
      </c>
      <c r="Z109" s="8">
        <f>J109*Входы!$C$96*Входы!$C$75*12</f>
        <v>15000</v>
      </c>
      <c r="AA109" s="8">
        <f>N109*Входы!$C$52</f>
        <v>22812.5</v>
      </c>
      <c r="AB109" s="8">
        <f t="shared" si="28"/>
        <v>158683.35</v>
      </c>
      <c r="AC109" s="8">
        <f t="shared" si="29"/>
        <v>109441.65</v>
      </c>
      <c r="AD109" s="8">
        <f t="shared" si="33"/>
        <v>879390.7300000001</v>
      </c>
      <c r="AE109" s="18">
        <f>ROUNDUP((T109+U109+V109+W109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09" s="24" t="str">
        <f t="shared" si="30"/>
        <v>Да</v>
      </c>
      <c r="AG109" s="8">
        <f t="shared" si="31"/>
        <v>69441.649999999994</v>
      </c>
    </row>
    <row r="110" spans="1:33" ht="38.25" x14ac:dyDescent="0.25">
      <c r="A110" s="2" t="s">
        <v>656</v>
      </c>
      <c r="B110" s="12">
        <v>42</v>
      </c>
      <c r="C110" s="2" t="s">
        <v>741</v>
      </c>
      <c r="D110" s="2" t="s">
        <v>740</v>
      </c>
      <c r="E110" s="18">
        <f>Входы!$C$36</f>
        <v>80</v>
      </c>
      <c r="F110" s="18">
        <f>E110*Входы!$C$37/Входы!$C$36</f>
        <v>24</v>
      </c>
      <c r="G110" s="18">
        <f>F110*Входы!$C$38/Входы!$C$37</f>
        <v>12</v>
      </c>
      <c r="H110" s="18">
        <f>Входы!$C$28/12/Входы!$C$40</f>
        <v>1</v>
      </c>
      <c r="I110" s="18">
        <f>MIN(G110,H110,(Входы!$C$31/12/Входы!$C$80)/Входы!$C$41,MAX(0,Входы!$C$34/Входы!$C$55-L110+K110)/Входы!$C$41,MAX(0,Входы!$C$22-L110)/Входы!$C$41,MAX(0,Входы!$C$58-SUM(J109:J109))/Входы!$C$41,Входы!$C$39/Входы!$C$41)</f>
        <v>1</v>
      </c>
      <c r="J110" s="18">
        <f>I110*Входы!$C$41</f>
        <v>0.5</v>
      </c>
      <c r="K110" s="18">
        <f t="shared" si="25"/>
        <v>0.25</v>
      </c>
      <c r="L110" s="18">
        <f t="shared" si="32"/>
        <v>9.25</v>
      </c>
      <c r="M110" s="18">
        <f t="shared" si="26"/>
        <v>9.5</v>
      </c>
      <c r="N110" s="18">
        <f t="shared" si="27"/>
        <v>9.375</v>
      </c>
      <c r="O110" s="18">
        <f>I110*Входы!$C$40</f>
        <v>20</v>
      </c>
      <c r="P110" s="18">
        <f>J110*Входы!$C$80</f>
        <v>10</v>
      </c>
      <c r="Q110" s="18">
        <f>N110*Входы!$C$53/12</f>
        <v>9.375</v>
      </c>
      <c r="R110" s="8">
        <f>N110*Входы!$C$75</f>
        <v>234375</v>
      </c>
      <c r="S110" s="8">
        <f>J110*Входы!$C$77</f>
        <v>40000</v>
      </c>
      <c r="T110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0" s="8">
        <f>0</f>
        <v>0</v>
      </c>
      <c r="V110" s="8">
        <f>Входы!$C$154</f>
        <v>10000</v>
      </c>
      <c r="W110" s="8">
        <f>IF(L110&gt;=Входы!$C$50,Входы!$C$51,0)</f>
        <v>0</v>
      </c>
      <c r="X110" s="8">
        <f>I110*Входы!$C$40*Входы!$C$81</f>
        <v>50000</v>
      </c>
      <c r="Y110" s="8">
        <f>J110*(Входы!$C$80*Входы!$C$81+Входы!$C$82)</f>
        <v>32500</v>
      </c>
      <c r="Z110" s="8">
        <f>J110*Входы!$C$96*Входы!$C$75*12</f>
        <v>15000</v>
      </c>
      <c r="AA110" s="8">
        <f>N110*Входы!$C$52</f>
        <v>23437.5</v>
      </c>
      <c r="AB110" s="8">
        <f t="shared" si="28"/>
        <v>159308.35</v>
      </c>
      <c r="AC110" s="8">
        <f t="shared" si="29"/>
        <v>115066.65</v>
      </c>
      <c r="AD110" s="8">
        <f t="shared" si="33"/>
        <v>994457.38000000012</v>
      </c>
      <c r="AE110" s="18">
        <f>ROUNDUP((T110+U110+V110+W110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10" s="24" t="str">
        <f t="shared" si="30"/>
        <v>Да</v>
      </c>
      <c r="AG110" s="8">
        <f t="shared" si="31"/>
        <v>75066.649999999994</v>
      </c>
    </row>
    <row r="111" spans="1:33" ht="38.25" x14ac:dyDescent="0.25">
      <c r="A111" s="2" t="s">
        <v>656</v>
      </c>
      <c r="B111" s="12">
        <v>43</v>
      </c>
      <c r="C111" s="2" t="s">
        <v>741</v>
      </c>
      <c r="D111" s="2" t="s">
        <v>740</v>
      </c>
      <c r="E111" s="18">
        <f>Входы!$C$36</f>
        <v>80</v>
      </c>
      <c r="F111" s="18">
        <f>E111*Входы!$C$37/Входы!$C$36</f>
        <v>24</v>
      </c>
      <c r="G111" s="18">
        <f>F111*Входы!$C$38/Входы!$C$37</f>
        <v>12</v>
      </c>
      <c r="H111" s="18">
        <f>Входы!$C$28/12/Входы!$C$40</f>
        <v>1</v>
      </c>
      <c r="I111" s="18">
        <f>MIN(G111,H111,(Входы!$C$31/12/Входы!$C$80)/Входы!$C$41,MAX(0,Входы!$C$34/Входы!$C$55-L111+K111)/Входы!$C$41,MAX(0,Входы!$C$22-L111)/Входы!$C$41,MAX(0,Входы!$C$58-SUM(J109:J110))/Входы!$C$41,Входы!$C$39/Входы!$C$41)</f>
        <v>1</v>
      </c>
      <c r="J111" s="18">
        <f>I111*Входы!$C$41</f>
        <v>0.5</v>
      </c>
      <c r="K111" s="18">
        <f t="shared" si="25"/>
        <v>0.25</v>
      </c>
      <c r="L111" s="18">
        <f t="shared" si="32"/>
        <v>9.5</v>
      </c>
      <c r="M111" s="18">
        <f t="shared" si="26"/>
        <v>9.75</v>
      </c>
      <c r="N111" s="18">
        <f t="shared" si="27"/>
        <v>9.625</v>
      </c>
      <c r="O111" s="18">
        <f>I111*Входы!$C$40</f>
        <v>20</v>
      </c>
      <c r="P111" s="18">
        <f>J111*Входы!$C$80</f>
        <v>10</v>
      </c>
      <c r="Q111" s="18">
        <f>N111*Входы!$C$53/12</f>
        <v>9.625</v>
      </c>
      <c r="R111" s="8">
        <f>N111*Входы!$C$75</f>
        <v>240625</v>
      </c>
      <c r="S111" s="8">
        <f>J111*Входы!$C$77</f>
        <v>40000</v>
      </c>
      <c r="T111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1" s="8">
        <f>0</f>
        <v>0</v>
      </c>
      <c r="V111" s="8">
        <f>Входы!$C$154</f>
        <v>10000</v>
      </c>
      <c r="W111" s="8">
        <f>IF(L111&gt;=Входы!$C$50,Входы!$C$51,0)</f>
        <v>0</v>
      </c>
      <c r="X111" s="8">
        <f>I111*Входы!$C$40*Входы!$C$81</f>
        <v>50000</v>
      </c>
      <c r="Y111" s="8">
        <f>J111*(Входы!$C$80*Входы!$C$81+Входы!$C$82)</f>
        <v>32500</v>
      </c>
      <c r="Z111" s="8">
        <f>J111*Входы!$C$96*Входы!$C$75*12</f>
        <v>15000</v>
      </c>
      <c r="AA111" s="8">
        <f>N111*Входы!$C$52</f>
        <v>24062.5</v>
      </c>
      <c r="AB111" s="8">
        <f t="shared" si="28"/>
        <v>159933.35</v>
      </c>
      <c r="AC111" s="8">
        <f t="shared" si="29"/>
        <v>120691.65</v>
      </c>
      <c r="AD111" s="8">
        <f t="shared" si="33"/>
        <v>1115149.03</v>
      </c>
      <c r="AE111" s="18">
        <f>ROUNDUP((T111+U111+V111+W111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11" s="24" t="str">
        <f t="shared" si="30"/>
        <v>Да</v>
      </c>
      <c r="AG111" s="8">
        <f t="shared" si="31"/>
        <v>80691.649999999994</v>
      </c>
    </row>
    <row r="112" spans="1:33" ht="38.25" x14ac:dyDescent="0.25">
      <c r="A112" s="2" t="s">
        <v>656</v>
      </c>
      <c r="B112" s="12">
        <v>44</v>
      </c>
      <c r="C112" s="2" t="s">
        <v>741</v>
      </c>
      <c r="D112" s="2" t="s">
        <v>740</v>
      </c>
      <c r="E112" s="18">
        <f>Входы!$C$36</f>
        <v>80</v>
      </c>
      <c r="F112" s="18">
        <f>E112*Входы!$C$37/Входы!$C$36</f>
        <v>24</v>
      </c>
      <c r="G112" s="18">
        <f>F112*Входы!$C$38/Входы!$C$37</f>
        <v>12</v>
      </c>
      <c r="H112" s="18">
        <f>Входы!$C$28/12/Входы!$C$40</f>
        <v>1</v>
      </c>
      <c r="I112" s="18">
        <f>MIN(G112,H112,(Входы!$C$31/12/Входы!$C$80)/Входы!$C$41,MAX(0,Входы!$C$34/Входы!$C$55-L112+K112)/Входы!$C$41,MAX(0,Входы!$C$22-L112)/Входы!$C$41,MAX(0,Входы!$C$58-SUM(J109:J111))/Входы!$C$41,Входы!$C$39/Входы!$C$41)</f>
        <v>1</v>
      </c>
      <c r="J112" s="18">
        <f>I112*Входы!$C$41</f>
        <v>0.5</v>
      </c>
      <c r="K112" s="18">
        <f t="shared" si="25"/>
        <v>0.25</v>
      </c>
      <c r="L112" s="18">
        <f t="shared" si="32"/>
        <v>9.75</v>
      </c>
      <c r="M112" s="18">
        <f t="shared" si="26"/>
        <v>10</v>
      </c>
      <c r="N112" s="18">
        <f t="shared" si="27"/>
        <v>9.875</v>
      </c>
      <c r="O112" s="18">
        <f>I112*Входы!$C$40</f>
        <v>20</v>
      </c>
      <c r="P112" s="18">
        <f>J112*Входы!$C$80</f>
        <v>10</v>
      </c>
      <c r="Q112" s="18">
        <f>N112*Входы!$C$53/12</f>
        <v>9.875</v>
      </c>
      <c r="R112" s="8">
        <f>N112*Входы!$C$75</f>
        <v>246875</v>
      </c>
      <c r="S112" s="8">
        <f>J112*Входы!$C$77</f>
        <v>40000</v>
      </c>
      <c r="T112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2" s="8">
        <f>0</f>
        <v>0</v>
      </c>
      <c r="V112" s="8">
        <f>Входы!$C$154</f>
        <v>10000</v>
      </c>
      <c r="W112" s="8">
        <f>IF(L112&gt;=Входы!$C$50,Входы!$C$51,0)</f>
        <v>0</v>
      </c>
      <c r="X112" s="8">
        <f>I112*Входы!$C$40*Входы!$C$81</f>
        <v>50000</v>
      </c>
      <c r="Y112" s="8">
        <f>J112*(Входы!$C$80*Входы!$C$81+Входы!$C$82)</f>
        <v>32500</v>
      </c>
      <c r="Z112" s="8">
        <f>J112*Входы!$C$96*Входы!$C$75*12</f>
        <v>15000</v>
      </c>
      <c r="AA112" s="8">
        <f>N112*Входы!$C$52</f>
        <v>24687.5</v>
      </c>
      <c r="AB112" s="8">
        <f t="shared" si="28"/>
        <v>160558.35</v>
      </c>
      <c r="AC112" s="8">
        <f t="shared" si="29"/>
        <v>126316.65</v>
      </c>
      <c r="AD112" s="8">
        <f t="shared" si="33"/>
        <v>1241465.68</v>
      </c>
      <c r="AE112" s="18">
        <f>ROUNDUP((T112+U112+V112+W112+(MIN(Входы!$C$58,Входы!$C$28/Входы!$C$40*Входы!$C$41,Входы!$C$31/Входы!$C$80,Входы!$C$39*12))/12*(Входы!$C$40*Входы!$C$81/Входы!$C$41+Входы!$C$96*Входы!$C$75*12))/(Входы!$C$75-Входы!$C$52),0)</f>
        <v>5</v>
      </c>
      <c r="AF112" s="24" t="str">
        <f t="shared" si="30"/>
        <v>Да</v>
      </c>
      <c r="AG112" s="8">
        <f t="shared" si="31"/>
        <v>86316.65</v>
      </c>
    </row>
    <row r="113" spans="1:33" ht="38.25" x14ac:dyDescent="0.25">
      <c r="A113" s="2" t="s">
        <v>656</v>
      </c>
      <c r="B113" s="12">
        <v>45</v>
      </c>
      <c r="C113" s="2" t="s">
        <v>741</v>
      </c>
      <c r="D113" s="2" t="s">
        <v>740</v>
      </c>
      <c r="E113" s="18">
        <f>Входы!$C$36</f>
        <v>80</v>
      </c>
      <c r="F113" s="18">
        <f>E113*Входы!$C$37/Входы!$C$36</f>
        <v>24</v>
      </c>
      <c r="G113" s="18">
        <f>F113*Входы!$C$38/Входы!$C$37</f>
        <v>12</v>
      </c>
      <c r="H113" s="18">
        <f>Входы!$C$28/12/Входы!$C$40</f>
        <v>1</v>
      </c>
      <c r="I113" s="18">
        <f>MIN(G113,H113,(Входы!$C$31/12/Входы!$C$80)/Входы!$C$41,MAX(0,Входы!$C$34/Входы!$C$55-L113+K113)/Входы!$C$41,MAX(0,Входы!$C$22-L113)/Входы!$C$41,MAX(0,Входы!$C$58-SUM(J109:J112))/Входы!$C$41,Входы!$C$39/Входы!$C$41)</f>
        <v>1</v>
      </c>
      <c r="J113" s="18">
        <f>I113*Входы!$C$41</f>
        <v>0.5</v>
      </c>
      <c r="K113" s="18">
        <f t="shared" si="25"/>
        <v>0.25</v>
      </c>
      <c r="L113" s="18">
        <f t="shared" si="32"/>
        <v>10</v>
      </c>
      <c r="M113" s="18">
        <f t="shared" si="26"/>
        <v>10.25</v>
      </c>
      <c r="N113" s="18">
        <f t="shared" si="27"/>
        <v>10.125</v>
      </c>
      <c r="O113" s="18">
        <f>I113*Входы!$C$40</f>
        <v>20</v>
      </c>
      <c r="P113" s="18">
        <f>J113*Входы!$C$80</f>
        <v>10</v>
      </c>
      <c r="Q113" s="18">
        <f>N113*Входы!$C$53/12</f>
        <v>10.125</v>
      </c>
      <c r="R113" s="8">
        <f>N113*Входы!$C$75</f>
        <v>253125</v>
      </c>
      <c r="S113" s="8">
        <f>J113*Входы!$C$77</f>
        <v>40000</v>
      </c>
      <c r="T113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3" s="8">
        <f>0</f>
        <v>0</v>
      </c>
      <c r="V113" s="8">
        <f>Входы!$C$154</f>
        <v>10000</v>
      </c>
      <c r="W113" s="8">
        <f>IF(L113&gt;=Входы!$C$50,Входы!$C$51,0)</f>
        <v>200000</v>
      </c>
      <c r="X113" s="8">
        <f>I113*Входы!$C$40*Входы!$C$81</f>
        <v>50000</v>
      </c>
      <c r="Y113" s="8">
        <f>J113*(Входы!$C$80*Входы!$C$81+Входы!$C$82)</f>
        <v>32500</v>
      </c>
      <c r="Z113" s="8">
        <f>J113*Входы!$C$96*Входы!$C$75*12</f>
        <v>15000</v>
      </c>
      <c r="AA113" s="8">
        <f>N113*Входы!$C$52</f>
        <v>25312.5</v>
      </c>
      <c r="AB113" s="8">
        <f t="shared" si="28"/>
        <v>361183.35</v>
      </c>
      <c r="AC113" s="8">
        <f t="shared" si="29"/>
        <v>-68058.349999999977</v>
      </c>
      <c r="AD113" s="8">
        <f t="shared" si="33"/>
        <v>1173407.33</v>
      </c>
      <c r="AE113" s="18">
        <f>ROUNDUP((T113+U113+V113+W113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3" s="24" t="str">
        <f t="shared" si="30"/>
        <v>Нет</v>
      </c>
      <c r="AG113" s="8">
        <f t="shared" si="31"/>
        <v>-108058.34999999998</v>
      </c>
    </row>
    <row r="114" spans="1:33" ht="38.25" x14ac:dyDescent="0.25">
      <c r="A114" s="2" t="s">
        <v>656</v>
      </c>
      <c r="B114" s="12">
        <v>46</v>
      </c>
      <c r="C114" s="2" t="s">
        <v>741</v>
      </c>
      <c r="D114" s="2" t="s">
        <v>740</v>
      </c>
      <c r="E114" s="18">
        <f>Входы!$C$36</f>
        <v>80</v>
      </c>
      <c r="F114" s="18">
        <f>E114*Входы!$C$37/Входы!$C$36</f>
        <v>24</v>
      </c>
      <c r="G114" s="18">
        <f>F114*Входы!$C$38/Входы!$C$37</f>
        <v>12</v>
      </c>
      <c r="H114" s="18">
        <f>Входы!$C$28/12/Входы!$C$40</f>
        <v>1</v>
      </c>
      <c r="I114" s="18">
        <f>MIN(G114,H114,(Входы!$C$31/12/Входы!$C$80)/Входы!$C$41,MAX(0,Входы!$C$34/Входы!$C$55-L114+K114)/Входы!$C$41,MAX(0,Входы!$C$22-L114)/Входы!$C$41,MAX(0,Входы!$C$58-SUM(J109:J113))/Входы!$C$41,Входы!$C$39/Входы!$C$41)</f>
        <v>1</v>
      </c>
      <c r="J114" s="18">
        <f>I114*Входы!$C$41</f>
        <v>0.5</v>
      </c>
      <c r="K114" s="18">
        <f t="shared" si="25"/>
        <v>0.25</v>
      </c>
      <c r="L114" s="18">
        <f t="shared" si="32"/>
        <v>10.25</v>
      </c>
      <c r="M114" s="18">
        <f t="shared" si="26"/>
        <v>10.5</v>
      </c>
      <c r="N114" s="18">
        <f t="shared" si="27"/>
        <v>10.375</v>
      </c>
      <c r="O114" s="18">
        <f>I114*Входы!$C$40</f>
        <v>20</v>
      </c>
      <c r="P114" s="18">
        <f>J114*Входы!$C$80</f>
        <v>10</v>
      </c>
      <c r="Q114" s="18">
        <f>N114*Входы!$C$53/12</f>
        <v>10.375</v>
      </c>
      <c r="R114" s="8">
        <f>N114*Входы!$C$75</f>
        <v>259375</v>
      </c>
      <c r="S114" s="8">
        <f>J114*Входы!$C$77</f>
        <v>40000</v>
      </c>
      <c r="T114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4" s="8">
        <f>0</f>
        <v>0</v>
      </c>
      <c r="V114" s="8">
        <f>Входы!$C$154</f>
        <v>10000</v>
      </c>
      <c r="W114" s="8">
        <f>IF(L114&gt;=Входы!$C$50,Входы!$C$51,0)</f>
        <v>200000</v>
      </c>
      <c r="X114" s="8">
        <f>I114*Входы!$C$40*Входы!$C$81</f>
        <v>50000</v>
      </c>
      <c r="Y114" s="8">
        <f>J114*(Входы!$C$80*Входы!$C$81+Входы!$C$82)</f>
        <v>32500</v>
      </c>
      <c r="Z114" s="8">
        <f>J114*Входы!$C$96*Входы!$C$75*12</f>
        <v>15000</v>
      </c>
      <c r="AA114" s="8">
        <f>N114*Входы!$C$52</f>
        <v>25937.5</v>
      </c>
      <c r="AB114" s="8">
        <f t="shared" si="28"/>
        <v>361808.35</v>
      </c>
      <c r="AC114" s="8">
        <f t="shared" si="29"/>
        <v>-62433.349999999977</v>
      </c>
      <c r="AD114" s="8">
        <f t="shared" si="33"/>
        <v>1110973.98</v>
      </c>
      <c r="AE114" s="18">
        <f>ROUNDUP((T114+U114+V114+W114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4" s="24" t="str">
        <f t="shared" si="30"/>
        <v>Нет</v>
      </c>
      <c r="AG114" s="8">
        <f t="shared" si="31"/>
        <v>-102433.34999999998</v>
      </c>
    </row>
    <row r="115" spans="1:33" ht="38.25" x14ac:dyDescent="0.25">
      <c r="A115" s="2" t="s">
        <v>656</v>
      </c>
      <c r="B115" s="12">
        <v>47</v>
      </c>
      <c r="C115" s="2" t="s">
        <v>741</v>
      </c>
      <c r="D115" s="2" t="s">
        <v>740</v>
      </c>
      <c r="E115" s="18">
        <f>Входы!$C$36</f>
        <v>80</v>
      </c>
      <c r="F115" s="18">
        <f>E115*Входы!$C$37/Входы!$C$36</f>
        <v>24</v>
      </c>
      <c r="G115" s="18">
        <f>F115*Входы!$C$38/Входы!$C$37</f>
        <v>12</v>
      </c>
      <c r="H115" s="18">
        <f>Входы!$C$28/12/Входы!$C$40</f>
        <v>1</v>
      </c>
      <c r="I115" s="18">
        <f>MIN(G115,H115,(Входы!$C$31/12/Входы!$C$80)/Входы!$C$41,MAX(0,Входы!$C$34/Входы!$C$55-L115+K115)/Входы!$C$41,MAX(0,Входы!$C$22-L115)/Входы!$C$41,MAX(0,Входы!$C$58-SUM(J109:J114))/Входы!$C$41,Входы!$C$39/Входы!$C$41)</f>
        <v>1</v>
      </c>
      <c r="J115" s="18">
        <f>I115*Входы!$C$41</f>
        <v>0.5</v>
      </c>
      <c r="K115" s="18">
        <f t="shared" si="25"/>
        <v>0.25</v>
      </c>
      <c r="L115" s="18">
        <f t="shared" si="32"/>
        <v>10.5</v>
      </c>
      <c r="M115" s="18">
        <f t="shared" si="26"/>
        <v>10.75</v>
      </c>
      <c r="N115" s="18">
        <f t="shared" si="27"/>
        <v>10.625</v>
      </c>
      <c r="O115" s="18">
        <f>I115*Входы!$C$40</f>
        <v>20</v>
      </c>
      <c r="P115" s="18">
        <f>J115*Входы!$C$80</f>
        <v>10</v>
      </c>
      <c r="Q115" s="18">
        <f>N115*Входы!$C$53/12</f>
        <v>10.625</v>
      </c>
      <c r="R115" s="8">
        <f>N115*Входы!$C$75</f>
        <v>265625</v>
      </c>
      <c r="S115" s="8">
        <f>J115*Входы!$C$77</f>
        <v>40000</v>
      </c>
      <c r="T115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5" s="8">
        <f>0</f>
        <v>0</v>
      </c>
      <c r="V115" s="8">
        <f>Входы!$C$154</f>
        <v>10000</v>
      </c>
      <c r="W115" s="8">
        <f>IF(L115&gt;=Входы!$C$50,Входы!$C$51,0)</f>
        <v>200000</v>
      </c>
      <c r="X115" s="8">
        <f>I115*Входы!$C$40*Входы!$C$81</f>
        <v>50000</v>
      </c>
      <c r="Y115" s="8">
        <f>J115*(Входы!$C$80*Входы!$C$81+Входы!$C$82)</f>
        <v>32500</v>
      </c>
      <c r="Z115" s="8">
        <f>J115*Входы!$C$96*Входы!$C$75*12</f>
        <v>15000</v>
      </c>
      <c r="AA115" s="8">
        <f>N115*Входы!$C$52</f>
        <v>26562.5</v>
      </c>
      <c r="AB115" s="8">
        <f t="shared" si="28"/>
        <v>362433.35</v>
      </c>
      <c r="AC115" s="8">
        <f t="shared" si="29"/>
        <v>-56808.349999999977</v>
      </c>
      <c r="AD115" s="8">
        <f t="shared" si="33"/>
        <v>1054165.6299999999</v>
      </c>
      <c r="AE115" s="18">
        <f>ROUNDUP((T115+U115+V115+W115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5" s="24" t="str">
        <f t="shared" si="30"/>
        <v>Нет</v>
      </c>
      <c r="AG115" s="8">
        <f t="shared" si="31"/>
        <v>-96808.349999999977</v>
      </c>
    </row>
    <row r="116" spans="1:33" ht="38.25" x14ac:dyDescent="0.25">
      <c r="A116" s="2" t="s">
        <v>656</v>
      </c>
      <c r="B116" s="12">
        <v>48</v>
      </c>
      <c r="C116" s="2" t="s">
        <v>741</v>
      </c>
      <c r="D116" s="2" t="s">
        <v>740</v>
      </c>
      <c r="E116" s="18">
        <f>Входы!$C$36</f>
        <v>80</v>
      </c>
      <c r="F116" s="18">
        <f>E116*Входы!$C$37/Входы!$C$36</f>
        <v>24</v>
      </c>
      <c r="G116" s="18">
        <f>F116*Входы!$C$38/Входы!$C$37</f>
        <v>12</v>
      </c>
      <c r="H116" s="18">
        <f>Входы!$C$28/12/Входы!$C$40</f>
        <v>1</v>
      </c>
      <c r="I116" s="18">
        <f>MIN(G116,H116,(Входы!$C$31/12/Входы!$C$80)/Входы!$C$41,MAX(0,Входы!$C$34/Входы!$C$55-L116+K116)/Входы!$C$41,MAX(0,Входы!$C$22-L116)/Входы!$C$41,MAX(0,Входы!$C$58-SUM(J109:J115))/Входы!$C$41,Входы!$C$39/Входы!$C$41)</f>
        <v>1</v>
      </c>
      <c r="J116" s="18">
        <f>I116*Входы!$C$41</f>
        <v>0.5</v>
      </c>
      <c r="K116" s="18">
        <f t="shared" si="25"/>
        <v>0.25</v>
      </c>
      <c r="L116" s="18">
        <f t="shared" si="32"/>
        <v>10.75</v>
      </c>
      <c r="M116" s="18">
        <f t="shared" si="26"/>
        <v>11</v>
      </c>
      <c r="N116" s="18">
        <f t="shared" si="27"/>
        <v>10.875</v>
      </c>
      <c r="O116" s="18">
        <f>I116*Входы!$C$40</f>
        <v>20</v>
      </c>
      <c r="P116" s="18">
        <f>J116*Входы!$C$80</f>
        <v>10</v>
      </c>
      <c r="Q116" s="18">
        <f>N116*Входы!$C$53/12</f>
        <v>10.875</v>
      </c>
      <c r="R116" s="8">
        <f>N116*Входы!$C$75</f>
        <v>271875</v>
      </c>
      <c r="S116" s="8">
        <f>J116*Входы!$C$77</f>
        <v>40000</v>
      </c>
      <c r="T116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6" s="8">
        <f>0</f>
        <v>0</v>
      </c>
      <c r="V116" s="8">
        <f>Входы!$C$154</f>
        <v>10000</v>
      </c>
      <c r="W116" s="8">
        <f>IF(L116&gt;=Входы!$C$50,Входы!$C$51,0)</f>
        <v>200000</v>
      </c>
      <c r="X116" s="8">
        <f>I116*Входы!$C$40*Входы!$C$81</f>
        <v>50000</v>
      </c>
      <c r="Y116" s="8">
        <f>J116*(Входы!$C$80*Входы!$C$81+Входы!$C$82)</f>
        <v>32500</v>
      </c>
      <c r="Z116" s="8">
        <f>J116*Входы!$C$96*Входы!$C$75*12</f>
        <v>15000</v>
      </c>
      <c r="AA116" s="8">
        <f>N116*Входы!$C$52</f>
        <v>27187.5</v>
      </c>
      <c r="AB116" s="8">
        <f t="shared" si="28"/>
        <v>363058.35</v>
      </c>
      <c r="AC116" s="8">
        <f t="shared" si="29"/>
        <v>-51183.349999999977</v>
      </c>
      <c r="AD116" s="8">
        <f t="shared" si="33"/>
        <v>1002982.2799999999</v>
      </c>
      <c r="AE116" s="18">
        <f>ROUNDUP((T116+U116+V116+W116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6" s="24" t="str">
        <f t="shared" si="30"/>
        <v>Нет</v>
      </c>
      <c r="AG116" s="8">
        <f t="shared" si="31"/>
        <v>-91183.349999999977</v>
      </c>
    </row>
    <row r="117" spans="1:33" ht="38.25" x14ac:dyDescent="0.25">
      <c r="A117" s="2" t="s">
        <v>656</v>
      </c>
      <c r="B117" s="12">
        <v>49</v>
      </c>
      <c r="C117" s="2" t="s">
        <v>741</v>
      </c>
      <c r="D117" s="2" t="s">
        <v>740</v>
      </c>
      <c r="E117" s="18">
        <f>Входы!$C$36</f>
        <v>80</v>
      </c>
      <c r="F117" s="18">
        <f>E117*Входы!$C$37/Входы!$C$36</f>
        <v>24</v>
      </c>
      <c r="G117" s="18">
        <f>F117*Входы!$C$38/Входы!$C$37</f>
        <v>12</v>
      </c>
      <c r="H117" s="18">
        <f>Входы!$C$28/12/Входы!$C$40</f>
        <v>1</v>
      </c>
      <c r="I117" s="18">
        <f>MIN(G117,H117,(Входы!$C$31/12/Входы!$C$80)/Входы!$C$41,MAX(0,Входы!$C$34/Входы!$C$55-L117+K117)/Входы!$C$41,MAX(0,Входы!$C$22-L117)/Входы!$C$41,MAX(0,Входы!$C$58-SUM(J109:J116))/Входы!$C$41,Входы!$C$39/Входы!$C$41)</f>
        <v>1</v>
      </c>
      <c r="J117" s="18">
        <f>I117*Входы!$C$41</f>
        <v>0.5</v>
      </c>
      <c r="K117" s="18">
        <f t="shared" si="25"/>
        <v>0.25</v>
      </c>
      <c r="L117" s="18">
        <f t="shared" si="32"/>
        <v>11</v>
      </c>
      <c r="M117" s="18">
        <f t="shared" si="26"/>
        <v>11.25</v>
      </c>
      <c r="N117" s="18">
        <f t="shared" si="27"/>
        <v>11.125</v>
      </c>
      <c r="O117" s="18">
        <f>I117*Входы!$C$40</f>
        <v>20</v>
      </c>
      <c r="P117" s="18">
        <f>J117*Входы!$C$80</f>
        <v>10</v>
      </c>
      <c r="Q117" s="18">
        <f>N117*Входы!$C$53/12</f>
        <v>11.125</v>
      </c>
      <c r="R117" s="8">
        <f>N117*Входы!$C$75</f>
        <v>278125</v>
      </c>
      <c r="S117" s="8">
        <f>J117*Входы!$C$77</f>
        <v>40000</v>
      </c>
      <c r="T117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7" s="8">
        <f>0</f>
        <v>0</v>
      </c>
      <c r="V117" s="8">
        <f>Входы!$C$154</f>
        <v>10000</v>
      </c>
      <c r="W117" s="8">
        <f>IF(L117&gt;=Входы!$C$50,Входы!$C$51,0)</f>
        <v>200000</v>
      </c>
      <c r="X117" s="8">
        <f>I117*Входы!$C$40*Входы!$C$81</f>
        <v>50000</v>
      </c>
      <c r="Y117" s="8">
        <f>J117*(Входы!$C$80*Входы!$C$81+Входы!$C$82)</f>
        <v>32500</v>
      </c>
      <c r="Z117" s="8">
        <f>J117*Входы!$C$96*Входы!$C$75*12</f>
        <v>15000</v>
      </c>
      <c r="AA117" s="8">
        <f>N117*Входы!$C$52</f>
        <v>27812.5</v>
      </c>
      <c r="AB117" s="8">
        <f t="shared" si="28"/>
        <v>363683.35</v>
      </c>
      <c r="AC117" s="8">
        <f t="shared" si="29"/>
        <v>-45558.349999999977</v>
      </c>
      <c r="AD117" s="8">
        <f t="shared" si="33"/>
        <v>957423.92999999993</v>
      </c>
      <c r="AE117" s="18">
        <f>ROUNDUP((T117+U117+V117+W117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7" s="24" t="str">
        <f t="shared" si="30"/>
        <v>Нет</v>
      </c>
      <c r="AG117" s="8">
        <f t="shared" si="31"/>
        <v>-85558.349999999977</v>
      </c>
    </row>
    <row r="118" spans="1:33" ht="38.25" x14ac:dyDescent="0.25">
      <c r="A118" s="2" t="s">
        <v>656</v>
      </c>
      <c r="B118" s="12">
        <v>50</v>
      </c>
      <c r="C118" s="2" t="s">
        <v>741</v>
      </c>
      <c r="D118" s="2" t="s">
        <v>740</v>
      </c>
      <c r="E118" s="18">
        <f>Входы!$C$36</f>
        <v>80</v>
      </c>
      <c r="F118" s="18">
        <f>E118*Входы!$C$37/Входы!$C$36</f>
        <v>24</v>
      </c>
      <c r="G118" s="18">
        <f>F118*Входы!$C$38/Входы!$C$37</f>
        <v>12</v>
      </c>
      <c r="H118" s="18">
        <f>Входы!$C$28/12/Входы!$C$40</f>
        <v>1</v>
      </c>
      <c r="I118" s="18">
        <f>MIN(G118,H118,(Входы!$C$31/12/Входы!$C$80)/Входы!$C$41,MAX(0,Входы!$C$34/Входы!$C$55-L118+K118)/Входы!$C$41,MAX(0,Входы!$C$22-L118)/Входы!$C$41,MAX(0,Входы!$C$58-SUM(J109:J117))/Входы!$C$41,Входы!$C$39/Входы!$C$41)</f>
        <v>1</v>
      </c>
      <c r="J118" s="18">
        <f>I118*Входы!$C$41</f>
        <v>0.5</v>
      </c>
      <c r="K118" s="18">
        <f t="shared" si="25"/>
        <v>0.25</v>
      </c>
      <c r="L118" s="18">
        <f t="shared" si="32"/>
        <v>11.25</v>
      </c>
      <c r="M118" s="18">
        <f t="shared" si="26"/>
        <v>11.5</v>
      </c>
      <c r="N118" s="18">
        <f t="shared" si="27"/>
        <v>11.375</v>
      </c>
      <c r="O118" s="18">
        <f>I118*Входы!$C$40</f>
        <v>20</v>
      </c>
      <c r="P118" s="18">
        <f>J118*Входы!$C$80</f>
        <v>10</v>
      </c>
      <c r="Q118" s="18">
        <f>N118*Входы!$C$53/12</f>
        <v>11.375</v>
      </c>
      <c r="R118" s="8">
        <f>N118*Входы!$C$75</f>
        <v>284375</v>
      </c>
      <c r="S118" s="8">
        <f>J118*Входы!$C$77</f>
        <v>40000</v>
      </c>
      <c r="T118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8" s="8">
        <f>0</f>
        <v>0</v>
      </c>
      <c r="V118" s="8">
        <f>Входы!$C$154</f>
        <v>10000</v>
      </c>
      <c r="W118" s="8">
        <f>IF(L118&gt;=Входы!$C$50,Входы!$C$51,0)</f>
        <v>200000</v>
      </c>
      <c r="X118" s="8">
        <f>I118*Входы!$C$40*Входы!$C$81</f>
        <v>50000</v>
      </c>
      <c r="Y118" s="8">
        <f>J118*(Входы!$C$80*Входы!$C$81+Входы!$C$82)</f>
        <v>32500</v>
      </c>
      <c r="Z118" s="8">
        <f>J118*Входы!$C$96*Входы!$C$75*12</f>
        <v>15000</v>
      </c>
      <c r="AA118" s="8">
        <f>N118*Входы!$C$52</f>
        <v>28437.5</v>
      </c>
      <c r="AB118" s="8">
        <f t="shared" si="28"/>
        <v>364308.35</v>
      </c>
      <c r="AC118" s="8">
        <f t="shared" si="29"/>
        <v>-39933.349999999977</v>
      </c>
      <c r="AD118" s="8">
        <f t="shared" si="33"/>
        <v>917490.58</v>
      </c>
      <c r="AE118" s="18">
        <f>ROUNDUP((T118+U118+V118+W118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8" s="24" t="str">
        <f t="shared" si="30"/>
        <v>Нет</v>
      </c>
      <c r="AG118" s="8">
        <f t="shared" si="31"/>
        <v>-79933.349999999977</v>
      </c>
    </row>
    <row r="119" spans="1:33" ht="38.25" x14ac:dyDescent="0.25">
      <c r="A119" s="2" t="s">
        <v>656</v>
      </c>
      <c r="B119" s="12">
        <v>51</v>
      </c>
      <c r="C119" s="2" t="s">
        <v>741</v>
      </c>
      <c r="D119" s="2" t="s">
        <v>740</v>
      </c>
      <c r="E119" s="18">
        <f>Входы!$C$36</f>
        <v>80</v>
      </c>
      <c r="F119" s="18">
        <f>E119*Входы!$C$37/Входы!$C$36</f>
        <v>24</v>
      </c>
      <c r="G119" s="18">
        <f>F119*Входы!$C$38/Входы!$C$37</f>
        <v>12</v>
      </c>
      <c r="H119" s="18">
        <f>Входы!$C$28/12/Входы!$C$40</f>
        <v>1</v>
      </c>
      <c r="I119" s="18">
        <f>MIN(G119,H119,(Входы!$C$31/12/Входы!$C$80)/Входы!$C$41,MAX(0,Входы!$C$34/Входы!$C$55-L119+K119)/Входы!$C$41,MAX(0,Входы!$C$22-L119)/Входы!$C$41,MAX(0,Входы!$C$58-SUM(J109:J118))/Входы!$C$41,Входы!$C$39/Входы!$C$41)</f>
        <v>1</v>
      </c>
      <c r="J119" s="18">
        <f>I119*Входы!$C$41</f>
        <v>0.5</v>
      </c>
      <c r="K119" s="18">
        <f t="shared" si="25"/>
        <v>0.25</v>
      </c>
      <c r="L119" s="18">
        <f t="shared" si="32"/>
        <v>11.5</v>
      </c>
      <c r="M119" s="18">
        <f t="shared" si="26"/>
        <v>11.75</v>
      </c>
      <c r="N119" s="18">
        <f t="shared" si="27"/>
        <v>11.625</v>
      </c>
      <c r="O119" s="18">
        <f>I119*Входы!$C$40</f>
        <v>20</v>
      </c>
      <c r="P119" s="18">
        <f>J119*Входы!$C$80</f>
        <v>10</v>
      </c>
      <c r="Q119" s="18">
        <f>N119*Входы!$C$53/12</f>
        <v>11.625</v>
      </c>
      <c r="R119" s="8">
        <f>N119*Входы!$C$75</f>
        <v>290625</v>
      </c>
      <c r="S119" s="8">
        <f>J119*Входы!$C$77</f>
        <v>40000</v>
      </c>
      <c r="T119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19" s="8">
        <f>0</f>
        <v>0</v>
      </c>
      <c r="V119" s="8">
        <f>Входы!$C$154</f>
        <v>10000</v>
      </c>
      <c r="W119" s="8">
        <f>IF(L119&gt;=Входы!$C$50,Входы!$C$51,0)</f>
        <v>200000</v>
      </c>
      <c r="X119" s="8">
        <f>I119*Входы!$C$40*Входы!$C$81</f>
        <v>50000</v>
      </c>
      <c r="Y119" s="8">
        <f>J119*(Входы!$C$80*Входы!$C$81+Входы!$C$82)</f>
        <v>32500</v>
      </c>
      <c r="Z119" s="8">
        <f>J119*Входы!$C$96*Входы!$C$75*12</f>
        <v>15000</v>
      </c>
      <c r="AA119" s="8">
        <f>N119*Входы!$C$52</f>
        <v>29062.5</v>
      </c>
      <c r="AB119" s="8">
        <f t="shared" si="28"/>
        <v>364933.35</v>
      </c>
      <c r="AC119" s="8">
        <f t="shared" si="29"/>
        <v>-34308.349999999977</v>
      </c>
      <c r="AD119" s="8">
        <f t="shared" si="33"/>
        <v>883182.23</v>
      </c>
      <c r="AE119" s="18">
        <f>ROUNDUP((T119+U119+V119+W119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19" s="24" t="str">
        <f t="shared" si="30"/>
        <v>Нет</v>
      </c>
      <c r="AG119" s="8">
        <f t="shared" si="31"/>
        <v>-74308.349999999977</v>
      </c>
    </row>
    <row r="120" spans="1:33" ht="38.25" x14ac:dyDescent="0.25">
      <c r="A120" s="2" t="s">
        <v>656</v>
      </c>
      <c r="B120" s="12">
        <v>52</v>
      </c>
      <c r="C120" s="2" t="s">
        <v>741</v>
      </c>
      <c r="D120" s="2" t="s">
        <v>740</v>
      </c>
      <c r="E120" s="18">
        <f>Входы!$C$36</f>
        <v>80</v>
      </c>
      <c r="F120" s="18">
        <f>E120*Входы!$C$37/Входы!$C$36</f>
        <v>24</v>
      </c>
      <c r="G120" s="18">
        <f>F120*Входы!$C$38/Входы!$C$37</f>
        <v>12</v>
      </c>
      <c r="H120" s="18">
        <f>Входы!$C$28/12/Входы!$C$40</f>
        <v>1</v>
      </c>
      <c r="I120" s="18">
        <f>MIN(G120,H120,(Входы!$C$31/12/Входы!$C$80)/Входы!$C$41,MAX(0,Входы!$C$34/Входы!$C$55-L120+K120)/Входы!$C$41,MAX(0,Входы!$C$22-L120)/Входы!$C$41,MAX(0,Входы!$C$58-SUM(J109:J119))/Входы!$C$41,Входы!$C$39/Входы!$C$41)</f>
        <v>1</v>
      </c>
      <c r="J120" s="18">
        <f>I120*Входы!$C$41</f>
        <v>0.5</v>
      </c>
      <c r="K120" s="18">
        <f t="shared" si="25"/>
        <v>0.25</v>
      </c>
      <c r="L120" s="18">
        <f t="shared" si="32"/>
        <v>11.75</v>
      </c>
      <c r="M120" s="18">
        <f t="shared" si="26"/>
        <v>12</v>
      </c>
      <c r="N120" s="18">
        <f t="shared" si="27"/>
        <v>11.875</v>
      </c>
      <c r="O120" s="18">
        <f>I120*Входы!$C$40</f>
        <v>20</v>
      </c>
      <c r="P120" s="18">
        <f>J120*Входы!$C$80</f>
        <v>10</v>
      </c>
      <c r="Q120" s="18">
        <f>N120*Входы!$C$53/12</f>
        <v>11.875</v>
      </c>
      <c r="R120" s="8">
        <f>N120*Входы!$C$75</f>
        <v>296875</v>
      </c>
      <c r="S120" s="8">
        <f>J120*Входы!$C$77</f>
        <v>40000</v>
      </c>
      <c r="T120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0" s="8">
        <f>0</f>
        <v>0</v>
      </c>
      <c r="V120" s="8">
        <f>Входы!$C$154</f>
        <v>10000</v>
      </c>
      <c r="W120" s="8">
        <f>IF(L120&gt;=Входы!$C$50,Входы!$C$51,0)</f>
        <v>200000</v>
      </c>
      <c r="X120" s="8">
        <f>I120*Входы!$C$40*Входы!$C$81</f>
        <v>50000</v>
      </c>
      <c r="Y120" s="8">
        <f>J120*(Входы!$C$80*Входы!$C$81+Входы!$C$82)</f>
        <v>32500</v>
      </c>
      <c r="Z120" s="8">
        <f>J120*Входы!$C$96*Входы!$C$75*12</f>
        <v>15000</v>
      </c>
      <c r="AA120" s="8">
        <f>N120*Входы!$C$52</f>
        <v>29687.5</v>
      </c>
      <c r="AB120" s="8">
        <f t="shared" si="28"/>
        <v>365558.35</v>
      </c>
      <c r="AC120" s="8">
        <f t="shared" si="29"/>
        <v>-28683.349999999977</v>
      </c>
      <c r="AD120" s="8">
        <f t="shared" si="33"/>
        <v>854498.88</v>
      </c>
      <c r="AE120" s="18">
        <f>ROUNDUP((T120+U120+V120+W120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0" s="24" t="str">
        <f t="shared" si="30"/>
        <v>Нет</v>
      </c>
      <c r="AG120" s="8">
        <f t="shared" si="31"/>
        <v>-68683.349999999977</v>
      </c>
    </row>
    <row r="121" spans="1:33" ht="25.5" x14ac:dyDescent="0.25">
      <c r="A121" s="2" t="s">
        <v>656</v>
      </c>
      <c r="B121" s="12">
        <v>53</v>
      </c>
      <c r="C121" s="2" t="s">
        <v>742</v>
      </c>
      <c r="D121" s="2" t="s">
        <v>743</v>
      </c>
      <c r="E121" s="18">
        <f>Входы!$C$36</f>
        <v>80</v>
      </c>
      <c r="F121" s="18">
        <f>E121*Входы!$C$37/Входы!$C$36</f>
        <v>24</v>
      </c>
      <c r="G121" s="18">
        <f>F121*Входы!$C$38/Входы!$C$37</f>
        <v>12</v>
      </c>
      <c r="H121" s="18">
        <f>Входы!$C$28/12/Входы!$C$40</f>
        <v>1</v>
      </c>
      <c r="I121" s="18">
        <f>MIN(G121,H121,(Входы!$C$31/12/Входы!$C$80)/Входы!$C$41,MAX(0,Входы!$C$34/Входы!$C$55-L121+K121)/Входы!$C$41,MAX(0,Входы!$C$22-L121)/Входы!$C$41,MAX(0,Входы!$C$58-0)/Входы!$C$41,Входы!$C$39/Входы!$C$41)</f>
        <v>1</v>
      </c>
      <c r="J121" s="18">
        <f>I121*Входы!$C$41</f>
        <v>0.5</v>
      </c>
      <c r="K121" s="18">
        <f t="shared" si="25"/>
        <v>0.5</v>
      </c>
      <c r="L121" s="18">
        <f t="shared" si="32"/>
        <v>12</v>
      </c>
      <c r="M121" s="18">
        <f t="shared" si="26"/>
        <v>12</v>
      </c>
      <c r="N121" s="18">
        <f t="shared" si="27"/>
        <v>12</v>
      </c>
      <c r="O121" s="18">
        <f>I121*Входы!$C$40</f>
        <v>20</v>
      </c>
      <c r="P121" s="18">
        <f>J121*Входы!$C$80</f>
        <v>10</v>
      </c>
      <c r="Q121" s="18">
        <f>N121*Входы!$C$53/12</f>
        <v>12</v>
      </c>
      <c r="R121" s="8">
        <f>N121*Входы!$C$75</f>
        <v>300000</v>
      </c>
      <c r="S121" s="8">
        <f>J121*Входы!$C$77</f>
        <v>40000</v>
      </c>
      <c r="T121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1" s="8">
        <f>0</f>
        <v>0</v>
      </c>
      <c r="V121" s="8">
        <f>Входы!$C$154</f>
        <v>10000</v>
      </c>
      <c r="W121" s="8">
        <f>IF(L121&gt;=Входы!$C$50,Входы!$C$51,0)</f>
        <v>200000</v>
      </c>
      <c r="X121" s="8">
        <f>I121*Входы!$C$40*Входы!$C$81</f>
        <v>50000</v>
      </c>
      <c r="Y121" s="8">
        <f>J121*(Входы!$C$80*Входы!$C$81+Входы!$C$82)</f>
        <v>32500</v>
      </c>
      <c r="Z121" s="8">
        <f>J121*Входы!$C$96*Входы!$C$75*12</f>
        <v>15000</v>
      </c>
      <c r="AA121" s="8">
        <f>N121*Входы!$C$52</f>
        <v>30000</v>
      </c>
      <c r="AB121" s="8">
        <f t="shared" si="28"/>
        <v>365870.85</v>
      </c>
      <c r="AC121" s="8">
        <f t="shared" si="29"/>
        <v>-25870.849999999977</v>
      </c>
      <c r="AD121" s="8">
        <f t="shared" si="33"/>
        <v>828628.03</v>
      </c>
      <c r="AE121" s="18">
        <f>ROUNDUP((T121+U121+V121+W121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1" s="24" t="str">
        <f t="shared" si="30"/>
        <v>Нет</v>
      </c>
      <c r="AG121" s="8">
        <f t="shared" si="31"/>
        <v>-65870.849999999977</v>
      </c>
    </row>
    <row r="122" spans="1:33" ht="25.5" x14ac:dyDescent="0.25">
      <c r="A122" s="2" t="s">
        <v>656</v>
      </c>
      <c r="B122" s="12">
        <v>54</v>
      </c>
      <c r="C122" s="2" t="s">
        <v>742</v>
      </c>
      <c r="D122" s="2" t="s">
        <v>743</v>
      </c>
      <c r="E122" s="18">
        <f>Входы!$C$36</f>
        <v>80</v>
      </c>
      <c r="F122" s="18">
        <f>E122*Входы!$C$37/Входы!$C$36</f>
        <v>24</v>
      </c>
      <c r="G122" s="18">
        <f>F122*Входы!$C$38/Входы!$C$37</f>
        <v>12</v>
      </c>
      <c r="H122" s="18">
        <f>Входы!$C$28/12/Входы!$C$40</f>
        <v>1</v>
      </c>
      <c r="I122" s="18">
        <f>MIN(G122,H122,(Входы!$C$31/12/Входы!$C$80)/Входы!$C$41,MAX(0,Входы!$C$34/Входы!$C$55-L122+K122)/Входы!$C$41,MAX(0,Входы!$C$22-L122)/Входы!$C$41,MAX(0,Входы!$C$58-SUM(J121:J121))/Входы!$C$41,Входы!$C$39/Входы!$C$41)</f>
        <v>1</v>
      </c>
      <c r="J122" s="18">
        <f>I122*Входы!$C$41</f>
        <v>0.5</v>
      </c>
      <c r="K122" s="18">
        <f t="shared" si="25"/>
        <v>0.5</v>
      </c>
      <c r="L122" s="18">
        <f t="shared" si="32"/>
        <v>12</v>
      </c>
      <c r="M122" s="18">
        <f t="shared" si="26"/>
        <v>12</v>
      </c>
      <c r="N122" s="18">
        <f t="shared" si="27"/>
        <v>12</v>
      </c>
      <c r="O122" s="18">
        <f>I122*Входы!$C$40</f>
        <v>20</v>
      </c>
      <c r="P122" s="18">
        <f>J122*Входы!$C$80</f>
        <v>10</v>
      </c>
      <c r="Q122" s="18">
        <f>N122*Входы!$C$53/12</f>
        <v>12</v>
      </c>
      <c r="R122" s="8">
        <f>N122*Входы!$C$75</f>
        <v>300000</v>
      </c>
      <c r="S122" s="8">
        <f>J122*Входы!$C$77</f>
        <v>40000</v>
      </c>
      <c r="T122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2" s="8">
        <f>0</f>
        <v>0</v>
      </c>
      <c r="V122" s="8">
        <f>Входы!$C$154</f>
        <v>10000</v>
      </c>
      <c r="W122" s="8">
        <f>IF(L122&gt;=Входы!$C$50,Входы!$C$51,0)</f>
        <v>200000</v>
      </c>
      <c r="X122" s="8">
        <f>I122*Входы!$C$40*Входы!$C$81</f>
        <v>50000</v>
      </c>
      <c r="Y122" s="8">
        <f>J122*(Входы!$C$80*Входы!$C$81+Входы!$C$82)</f>
        <v>32500</v>
      </c>
      <c r="Z122" s="8">
        <f>J122*Входы!$C$96*Входы!$C$75*12</f>
        <v>15000</v>
      </c>
      <c r="AA122" s="8">
        <f>N122*Входы!$C$52</f>
        <v>30000</v>
      </c>
      <c r="AB122" s="8">
        <f t="shared" si="28"/>
        <v>365870.85</v>
      </c>
      <c r="AC122" s="8">
        <f t="shared" si="29"/>
        <v>-25870.849999999977</v>
      </c>
      <c r="AD122" s="8">
        <f t="shared" si="33"/>
        <v>802757.18</v>
      </c>
      <c r="AE122" s="18">
        <f>ROUNDUP((T122+U122+V122+W122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2" s="24" t="str">
        <f t="shared" si="30"/>
        <v>Нет</v>
      </c>
      <c r="AG122" s="8">
        <f t="shared" si="31"/>
        <v>-65870.849999999977</v>
      </c>
    </row>
    <row r="123" spans="1:33" ht="25.5" x14ac:dyDescent="0.25">
      <c r="A123" s="2" t="s">
        <v>656</v>
      </c>
      <c r="B123" s="12">
        <v>55</v>
      </c>
      <c r="C123" s="2" t="s">
        <v>742</v>
      </c>
      <c r="D123" s="2" t="s">
        <v>743</v>
      </c>
      <c r="E123" s="18">
        <f>Входы!$C$36</f>
        <v>80</v>
      </c>
      <c r="F123" s="18">
        <f>E123*Входы!$C$37/Входы!$C$36</f>
        <v>24</v>
      </c>
      <c r="G123" s="18">
        <f>F123*Входы!$C$38/Входы!$C$37</f>
        <v>12</v>
      </c>
      <c r="H123" s="18">
        <f>Входы!$C$28/12/Входы!$C$40</f>
        <v>1</v>
      </c>
      <c r="I123" s="18">
        <f>MIN(G123,H123,(Входы!$C$31/12/Входы!$C$80)/Входы!$C$41,MAX(0,Входы!$C$34/Входы!$C$55-L123+K123)/Входы!$C$41,MAX(0,Входы!$C$22-L123)/Входы!$C$41,MAX(0,Входы!$C$58-SUM(J121:J122))/Входы!$C$41,Входы!$C$39/Входы!$C$41)</f>
        <v>1</v>
      </c>
      <c r="J123" s="18">
        <f>I123*Входы!$C$41</f>
        <v>0.5</v>
      </c>
      <c r="K123" s="18">
        <f t="shared" si="25"/>
        <v>0.5</v>
      </c>
      <c r="L123" s="18">
        <f t="shared" si="32"/>
        <v>12</v>
      </c>
      <c r="M123" s="18">
        <f t="shared" si="26"/>
        <v>12</v>
      </c>
      <c r="N123" s="18">
        <f t="shared" si="27"/>
        <v>12</v>
      </c>
      <c r="O123" s="18">
        <f>I123*Входы!$C$40</f>
        <v>20</v>
      </c>
      <c r="P123" s="18">
        <f>J123*Входы!$C$80</f>
        <v>10</v>
      </c>
      <c r="Q123" s="18">
        <f>N123*Входы!$C$53/12</f>
        <v>12</v>
      </c>
      <c r="R123" s="8">
        <f>N123*Входы!$C$75</f>
        <v>300000</v>
      </c>
      <c r="S123" s="8">
        <f>J123*Входы!$C$77</f>
        <v>40000</v>
      </c>
      <c r="T123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3" s="8">
        <f>0</f>
        <v>0</v>
      </c>
      <c r="V123" s="8">
        <f>Входы!$C$154</f>
        <v>10000</v>
      </c>
      <c r="W123" s="8">
        <f>IF(L123&gt;=Входы!$C$50,Входы!$C$51,0)</f>
        <v>200000</v>
      </c>
      <c r="X123" s="8">
        <f>I123*Входы!$C$40*Входы!$C$81</f>
        <v>50000</v>
      </c>
      <c r="Y123" s="8">
        <f>J123*(Входы!$C$80*Входы!$C$81+Входы!$C$82)</f>
        <v>32500</v>
      </c>
      <c r="Z123" s="8">
        <f>J123*Входы!$C$96*Входы!$C$75*12</f>
        <v>15000</v>
      </c>
      <c r="AA123" s="8">
        <f>N123*Входы!$C$52</f>
        <v>30000</v>
      </c>
      <c r="AB123" s="8">
        <f t="shared" si="28"/>
        <v>365870.85</v>
      </c>
      <c r="AC123" s="8">
        <f t="shared" si="29"/>
        <v>-25870.849999999977</v>
      </c>
      <c r="AD123" s="8">
        <f t="shared" si="33"/>
        <v>776886.33000000007</v>
      </c>
      <c r="AE123" s="18">
        <f>ROUNDUP((T123+U123+V123+W123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3" s="24" t="str">
        <f t="shared" si="30"/>
        <v>Нет</v>
      </c>
      <c r="AG123" s="8">
        <f t="shared" si="31"/>
        <v>-65870.849999999977</v>
      </c>
    </row>
    <row r="124" spans="1:33" ht="25.5" x14ac:dyDescent="0.25">
      <c r="A124" s="2" t="s">
        <v>656</v>
      </c>
      <c r="B124" s="12">
        <v>56</v>
      </c>
      <c r="C124" s="2" t="s">
        <v>742</v>
      </c>
      <c r="D124" s="2" t="s">
        <v>743</v>
      </c>
      <c r="E124" s="18">
        <f>Входы!$C$36</f>
        <v>80</v>
      </c>
      <c r="F124" s="18">
        <f>E124*Входы!$C$37/Входы!$C$36</f>
        <v>24</v>
      </c>
      <c r="G124" s="18">
        <f>F124*Входы!$C$38/Входы!$C$37</f>
        <v>12</v>
      </c>
      <c r="H124" s="18">
        <f>Входы!$C$28/12/Входы!$C$40</f>
        <v>1</v>
      </c>
      <c r="I124" s="18">
        <f>MIN(G124,H124,(Входы!$C$31/12/Входы!$C$80)/Входы!$C$41,MAX(0,Входы!$C$34/Входы!$C$55-L124+K124)/Входы!$C$41,MAX(0,Входы!$C$22-L124)/Входы!$C$41,MAX(0,Входы!$C$58-SUM(J121:J123))/Входы!$C$41,Входы!$C$39/Входы!$C$41)</f>
        <v>1</v>
      </c>
      <c r="J124" s="18">
        <f>I124*Входы!$C$41</f>
        <v>0.5</v>
      </c>
      <c r="K124" s="18">
        <f t="shared" si="25"/>
        <v>0.5</v>
      </c>
      <c r="L124" s="18">
        <f t="shared" si="32"/>
        <v>12</v>
      </c>
      <c r="M124" s="18">
        <f t="shared" si="26"/>
        <v>12</v>
      </c>
      <c r="N124" s="18">
        <f t="shared" si="27"/>
        <v>12</v>
      </c>
      <c r="O124" s="18">
        <f>I124*Входы!$C$40</f>
        <v>20</v>
      </c>
      <c r="P124" s="18">
        <f>J124*Входы!$C$80</f>
        <v>10</v>
      </c>
      <c r="Q124" s="18">
        <f>N124*Входы!$C$53/12</f>
        <v>12</v>
      </c>
      <c r="R124" s="8">
        <f>N124*Входы!$C$75</f>
        <v>300000</v>
      </c>
      <c r="S124" s="8">
        <f>J124*Входы!$C$77</f>
        <v>40000</v>
      </c>
      <c r="T124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4" s="8">
        <f>0</f>
        <v>0</v>
      </c>
      <c r="V124" s="8">
        <f>Входы!$C$154</f>
        <v>10000</v>
      </c>
      <c r="W124" s="8">
        <f>IF(L124&gt;=Входы!$C$50,Входы!$C$51,0)</f>
        <v>200000</v>
      </c>
      <c r="X124" s="8">
        <f>I124*Входы!$C$40*Входы!$C$81</f>
        <v>50000</v>
      </c>
      <c r="Y124" s="8">
        <f>J124*(Входы!$C$80*Входы!$C$81+Входы!$C$82)</f>
        <v>32500</v>
      </c>
      <c r="Z124" s="8">
        <f>J124*Входы!$C$96*Входы!$C$75*12</f>
        <v>15000</v>
      </c>
      <c r="AA124" s="8">
        <f>N124*Входы!$C$52</f>
        <v>30000</v>
      </c>
      <c r="AB124" s="8">
        <f t="shared" si="28"/>
        <v>365870.85</v>
      </c>
      <c r="AC124" s="8">
        <f t="shared" si="29"/>
        <v>-25870.849999999977</v>
      </c>
      <c r="AD124" s="8">
        <f t="shared" si="33"/>
        <v>751015.4800000001</v>
      </c>
      <c r="AE124" s="18">
        <f>ROUNDUP((T124+U124+V124+W124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4" s="24" t="str">
        <f t="shared" si="30"/>
        <v>Нет</v>
      </c>
      <c r="AG124" s="8">
        <f t="shared" si="31"/>
        <v>-65870.849999999977</v>
      </c>
    </row>
    <row r="125" spans="1:33" ht="25.5" x14ac:dyDescent="0.25">
      <c r="A125" s="2" t="s">
        <v>656</v>
      </c>
      <c r="B125" s="12">
        <v>57</v>
      </c>
      <c r="C125" s="2" t="s">
        <v>742</v>
      </c>
      <c r="D125" s="2" t="s">
        <v>743</v>
      </c>
      <c r="E125" s="18">
        <f>Входы!$C$36</f>
        <v>80</v>
      </c>
      <c r="F125" s="18">
        <f>E125*Входы!$C$37/Входы!$C$36</f>
        <v>24</v>
      </c>
      <c r="G125" s="18">
        <f>F125*Входы!$C$38/Входы!$C$37</f>
        <v>12</v>
      </c>
      <c r="H125" s="18">
        <f>Входы!$C$28/12/Входы!$C$40</f>
        <v>1</v>
      </c>
      <c r="I125" s="18">
        <f>MIN(G125,H125,(Входы!$C$31/12/Входы!$C$80)/Входы!$C$41,MAX(0,Входы!$C$34/Входы!$C$55-L125+K125)/Входы!$C$41,MAX(0,Входы!$C$22-L125)/Входы!$C$41,MAX(0,Входы!$C$58-SUM(J121:J124))/Входы!$C$41,Входы!$C$39/Входы!$C$41)</f>
        <v>1</v>
      </c>
      <c r="J125" s="18">
        <f>I125*Входы!$C$41</f>
        <v>0.5</v>
      </c>
      <c r="K125" s="18">
        <f t="shared" si="25"/>
        <v>0.5</v>
      </c>
      <c r="L125" s="18">
        <f t="shared" si="32"/>
        <v>12</v>
      </c>
      <c r="M125" s="18">
        <f t="shared" si="26"/>
        <v>12</v>
      </c>
      <c r="N125" s="18">
        <f t="shared" si="27"/>
        <v>12</v>
      </c>
      <c r="O125" s="18">
        <f>I125*Входы!$C$40</f>
        <v>20</v>
      </c>
      <c r="P125" s="18">
        <f>J125*Входы!$C$80</f>
        <v>10</v>
      </c>
      <c r="Q125" s="18">
        <f>N125*Входы!$C$53/12</f>
        <v>12</v>
      </c>
      <c r="R125" s="8">
        <f>N125*Входы!$C$75</f>
        <v>300000</v>
      </c>
      <c r="S125" s="8">
        <f>J125*Входы!$C$77</f>
        <v>40000</v>
      </c>
      <c r="T125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5" s="8">
        <f>0</f>
        <v>0</v>
      </c>
      <c r="V125" s="8">
        <f>Входы!$C$154</f>
        <v>10000</v>
      </c>
      <c r="W125" s="8">
        <f>IF(L125&gt;=Входы!$C$50,Входы!$C$51,0)</f>
        <v>200000</v>
      </c>
      <c r="X125" s="8">
        <f>I125*Входы!$C$40*Входы!$C$81</f>
        <v>50000</v>
      </c>
      <c r="Y125" s="8">
        <f>J125*(Входы!$C$80*Входы!$C$81+Входы!$C$82)</f>
        <v>32500</v>
      </c>
      <c r="Z125" s="8">
        <f>J125*Входы!$C$96*Входы!$C$75*12</f>
        <v>15000</v>
      </c>
      <c r="AA125" s="8">
        <f>N125*Входы!$C$52</f>
        <v>30000</v>
      </c>
      <c r="AB125" s="8">
        <f t="shared" si="28"/>
        <v>365870.85</v>
      </c>
      <c r="AC125" s="8">
        <f t="shared" si="29"/>
        <v>-25870.849999999977</v>
      </c>
      <c r="AD125" s="8">
        <f t="shared" si="33"/>
        <v>725144.63000000012</v>
      </c>
      <c r="AE125" s="18">
        <f>ROUNDUP((T125+U125+V125+W125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5" s="24" t="str">
        <f t="shared" si="30"/>
        <v>Нет</v>
      </c>
      <c r="AG125" s="8">
        <f t="shared" si="31"/>
        <v>-65870.849999999977</v>
      </c>
    </row>
    <row r="126" spans="1:33" ht="25.5" x14ac:dyDescent="0.25">
      <c r="A126" s="2" t="s">
        <v>656</v>
      </c>
      <c r="B126" s="12">
        <v>58</v>
      </c>
      <c r="C126" s="2" t="s">
        <v>742</v>
      </c>
      <c r="D126" s="2" t="s">
        <v>743</v>
      </c>
      <c r="E126" s="18">
        <f>Входы!$C$36</f>
        <v>80</v>
      </c>
      <c r="F126" s="18">
        <f>E126*Входы!$C$37/Входы!$C$36</f>
        <v>24</v>
      </c>
      <c r="G126" s="18">
        <f>F126*Входы!$C$38/Входы!$C$37</f>
        <v>12</v>
      </c>
      <c r="H126" s="18">
        <f>Входы!$C$28/12/Входы!$C$40</f>
        <v>1</v>
      </c>
      <c r="I126" s="18">
        <f>MIN(G126,H126,(Входы!$C$31/12/Входы!$C$80)/Входы!$C$41,MAX(0,Входы!$C$34/Входы!$C$55-L126+K126)/Входы!$C$41,MAX(0,Входы!$C$22-L126)/Входы!$C$41,MAX(0,Входы!$C$58-SUM(J121:J125))/Входы!$C$41,Входы!$C$39/Входы!$C$41)</f>
        <v>1</v>
      </c>
      <c r="J126" s="18">
        <f>I126*Входы!$C$41</f>
        <v>0.5</v>
      </c>
      <c r="K126" s="18">
        <f t="shared" si="25"/>
        <v>0.5</v>
      </c>
      <c r="L126" s="18">
        <f t="shared" si="32"/>
        <v>12</v>
      </c>
      <c r="M126" s="18">
        <f t="shared" si="26"/>
        <v>12</v>
      </c>
      <c r="N126" s="18">
        <f t="shared" si="27"/>
        <v>12</v>
      </c>
      <c r="O126" s="18">
        <f>I126*Входы!$C$40</f>
        <v>20</v>
      </c>
      <c r="P126" s="18">
        <f>J126*Входы!$C$80</f>
        <v>10</v>
      </c>
      <c r="Q126" s="18">
        <f>N126*Входы!$C$53/12</f>
        <v>12</v>
      </c>
      <c r="R126" s="8">
        <f>N126*Входы!$C$75</f>
        <v>300000</v>
      </c>
      <c r="S126" s="8">
        <f>J126*Входы!$C$77</f>
        <v>40000</v>
      </c>
      <c r="T126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6" s="8">
        <f>0</f>
        <v>0</v>
      </c>
      <c r="V126" s="8">
        <f>Входы!$C$154</f>
        <v>10000</v>
      </c>
      <c r="W126" s="8">
        <f>IF(L126&gt;=Входы!$C$50,Входы!$C$51,0)</f>
        <v>200000</v>
      </c>
      <c r="X126" s="8">
        <f>I126*Входы!$C$40*Входы!$C$81</f>
        <v>50000</v>
      </c>
      <c r="Y126" s="8">
        <f>J126*(Входы!$C$80*Входы!$C$81+Входы!$C$82)</f>
        <v>32500</v>
      </c>
      <c r="Z126" s="8">
        <f>J126*Входы!$C$96*Входы!$C$75*12</f>
        <v>15000</v>
      </c>
      <c r="AA126" s="8">
        <f>N126*Входы!$C$52</f>
        <v>30000</v>
      </c>
      <c r="AB126" s="8">
        <f t="shared" si="28"/>
        <v>365870.85</v>
      </c>
      <c r="AC126" s="8">
        <f t="shared" si="29"/>
        <v>-25870.849999999977</v>
      </c>
      <c r="AD126" s="8">
        <f t="shared" si="33"/>
        <v>699273.78000000014</v>
      </c>
      <c r="AE126" s="18">
        <f>ROUNDUP((T126+U126+V126+W126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6" s="24" t="str">
        <f t="shared" si="30"/>
        <v>Нет</v>
      </c>
      <c r="AG126" s="8">
        <f t="shared" si="31"/>
        <v>-65870.849999999977</v>
      </c>
    </row>
    <row r="127" spans="1:33" ht="25.5" x14ac:dyDescent="0.25">
      <c r="A127" s="2" t="s">
        <v>656</v>
      </c>
      <c r="B127" s="12">
        <v>59</v>
      </c>
      <c r="C127" s="2" t="s">
        <v>742</v>
      </c>
      <c r="D127" s="2" t="s">
        <v>743</v>
      </c>
      <c r="E127" s="18">
        <f>Входы!$C$36</f>
        <v>80</v>
      </c>
      <c r="F127" s="18">
        <f>E127*Входы!$C$37/Входы!$C$36</f>
        <v>24</v>
      </c>
      <c r="G127" s="18">
        <f>F127*Входы!$C$38/Входы!$C$37</f>
        <v>12</v>
      </c>
      <c r="H127" s="18">
        <f>Входы!$C$28/12/Входы!$C$40</f>
        <v>1</v>
      </c>
      <c r="I127" s="18">
        <f>MIN(G127,H127,(Входы!$C$31/12/Входы!$C$80)/Входы!$C$41,MAX(0,Входы!$C$34/Входы!$C$55-L127+K127)/Входы!$C$41,MAX(0,Входы!$C$22-L127)/Входы!$C$41,MAX(0,Входы!$C$58-SUM(J121:J126))/Входы!$C$41,Входы!$C$39/Входы!$C$41)</f>
        <v>1</v>
      </c>
      <c r="J127" s="18">
        <f>I127*Входы!$C$41</f>
        <v>0.5</v>
      </c>
      <c r="K127" s="18">
        <f t="shared" si="25"/>
        <v>0.5</v>
      </c>
      <c r="L127" s="18">
        <f t="shared" si="32"/>
        <v>12</v>
      </c>
      <c r="M127" s="18">
        <f t="shared" si="26"/>
        <v>12</v>
      </c>
      <c r="N127" s="18">
        <f t="shared" si="27"/>
        <v>12</v>
      </c>
      <c r="O127" s="18">
        <f>I127*Входы!$C$40</f>
        <v>20</v>
      </c>
      <c r="P127" s="18">
        <f>J127*Входы!$C$80</f>
        <v>10</v>
      </c>
      <c r="Q127" s="18">
        <f>N127*Входы!$C$53/12</f>
        <v>12</v>
      </c>
      <c r="R127" s="8">
        <f>N127*Входы!$C$75</f>
        <v>300000</v>
      </c>
      <c r="S127" s="8">
        <f>J127*Входы!$C$77</f>
        <v>40000</v>
      </c>
      <c r="T127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7" s="8">
        <f>0</f>
        <v>0</v>
      </c>
      <c r="V127" s="8">
        <f>Входы!$C$154</f>
        <v>10000</v>
      </c>
      <c r="W127" s="8">
        <f>IF(L127&gt;=Входы!$C$50,Входы!$C$51,0)</f>
        <v>200000</v>
      </c>
      <c r="X127" s="8">
        <f>I127*Входы!$C$40*Входы!$C$81</f>
        <v>50000</v>
      </c>
      <c r="Y127" s="8">
        <f>J127*(Входы!$C$80*Входы!$C$81+Входы!$C$82)</f>
        <v>32500</v>
      </c>
      <c r="Z127" s="8">
        <f>J127*Входы!$C$96*Входы!$C$75*12</f>
        <v>15000</v>
      </c>
      <c r="AA127" s="8">
        <f>N127*Входы!$C$52</f>
        <v>30000</v>
      </c>
      <c r="AB127" s="8">
        <f t="shared" si="28"/>
        <v>365870.85</v>
      </c>
      <c r="AC127" s="8">
        <f t="shared" si="29"/>
        <v>-25870.849999999977</v>
      </c>
      <c r="AD127" s="8">
        <f t="shared" si="33"/>
        <v>673402.93000000017</v>
      </c>
      <c r="AE127" s="18">
        <f>ROUNDUP((T127+U127+V127+W127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7" s="24" t="str">
        <f t="shared" si="30"/>
        <v>Нет</v>
      </c>
      <c r="AG127" s="8">
        <f t="shared" si="31"/>
        <v>-65870.849999999977</v>
      </c>
    </row>
    <row r="128" spans="1:33" ht="25.5" x14ac:dyDescent="0.25">
      <c r="A128" s="2" t="s">
        <v>656</v>
      </c>
      <c r="B128" s="12">
        <v>60</v>
      </c>
      <c r="C128" s="2" t="s">
        <v>742</v>
      </c>
      <c r="D128" s="2" t="s">
        <v>743</v>
      </c>
      <c r="E128" s="18">
        <f>Входы!$C$36</f>
        <v>80</v>
      </c>
      <c r="F128" s="18">
        <f>E128*Входы!$C$37/Входы!$C$36</f>
        <v>24</v>
      </c>
      <c r="G128" s="18">
        <f>F128*Входы!$C$38/Входы!$C$37</f>
        <v>12</v>
      </c>
      <c r="H128" s="18">
        <f>Входы!$C$28/12/Входы!$C$40</f>
        <v>1</v>
      </c>
      <c r="I128" s="18">
        <f>MIN(G128,H128,(Входы!$C$31/12/Входы!$C$80)/Входы!$C$41,MAX(0,Входы!$C$34/Входы!$C$55-L128+K128)/Входы!$C$41,MAX(0,Входы!$C$22-L128)/Входы!$C$41,MAX(0,Входы!$C$58-SUM(J121:J127))/Входы!$C$41,Входы!$C$39/Входы!$C$41)</f>
        <v>1</v>
      </c>
      <c r="J128" s="18">
        <f>I128*Входы!$C$41</f>
        <v>0.5</v>
      </c>
      <c r="K128" s="18">
        <f t="shared" si="25"/>
        <v>0.5</v>
      </c>
      <c r="L128" s="18">
        <f t="shared" si="32"/>
        <v>12</v>
      </c>
      <c r="M128" s="18">
        <f t="shared" si="26"/>
        <v>12</v>
      </c>
      <c r="N128" s="18">
        <f t="shared" si="27"/>
        <v>12</v>
      </c>
      <c r="O128" s="18">
        <f>I128*Входы!$C$40</f>
        <v>20</v>
      </c>
      <c r="P128" s="18">
        <f>J128*Входы!$C$80</f>
        <v>10</v>
      </c>
      <c r="Q128" s="18">
        <f>N128*Входы!$C$53/12</f>
        <v>12</v>
      </c>
      <c r="R128" s="8">
        <f>N128*Входы!$C$75</f>
        <v>300000</v>
      </c>
      <c r="S128" s="8">
        <f>J128*Входы!$C$77</f>
        <v>40000</v>
      </c>
      <c r="T128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8" s="8">
        <f>0</f>
        <v>0</v>
      </c>
      <c r="V128" s="8">
        <f>Входы!$C$154</f>
        <v>10000</v>
      </c>
      <c r="W128" s="8">
        <f>IF(L128&gt;=Входы!$C$50,Входы!$C$51,0)</f>
        <v>200000</v>
      </c>
      <c r="X128" s="8">
        <f>I128*Входы!$C$40*Входы!$C$81</f>
        <v>50000</v>
      </c>
      <c r="Y128" s="8">
        <f>J128*(Входы!$C$80*Входы!$C$81+Входы!$C$82)</f>
        <v>32500</v>
      </c>
      <c r="Z128" s="8">
        <f>J128*Входы!$C$96*Входы!$C$75*12</f>
        <v>15000</v>
      </c>
      <c r="AA128" s="8">
        <f>N128*Входы!$C$52</f>
        <v>30000</v>
      </c>
      <c r="AB128" s="8">
        <f t="shared" si="28"/>
        <v>365870.85</v>
      </c>
      <c r="AC128" s="8">
        <f t="shared" si="29"/>
        <v>-25870.849999999977</v>
      </c>
      <c r="AD128" s="8">
        <f t="shared" si="33"/>
        <v>647532.08000000019</v>
      </c>
      <c r="AE128" s="18">
        <f>ROUNDUP((T128+U128+V128+W128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8" s="24" t="str">
        <f t="shared" si="30"/>
        <v>Нет</v>
      </c>
      <c r="AG128" s="8">
        <f t="shared" si="31"/>
        <v>-65870.849999999977</v>
      </c>
    </row>
    <row r="129" spans="1:33" ht="25.5" x14ac:dyDescent="0.25">
      <c r="A129" s="2" t="s">
        <v>656</v>
      </c>
      <c r="B129" s="12">
        <v>61</v>
      </c>
      <c r="C129" s="2" t="s">
        <v>742</v>
      </c>
      <c r="D129" s="2" t="s">
        <v>743</v>
      </c>
      <c r="E129" s="18">
        <f>Входы!$C$36</f>
        <v>80</v>
      </c>
      <c r="F129" s="18">
        <f>E129*Входы!$C$37/Входы!$C$36</f>
        <v>24</v>
      </c>
      <c r="G129" s="18">
        <f>F129*Входы!$C$38/Входы!$C$37</f>
        <v>12</v>
      </c>
      <c r="H129" s="18">
        <f>Входы!$C$28/12/Входы!$C$40</f>
        <v>1</v>
      </c>
      <c r="I129" s="18">
        <f>MIN(G129,H129,(Входы!$C$31/12/Входы!$C$80)/Входы!$C$41,MAX(0,Входы!$C$34/Входы!$C$55-L129+K129)/Входы!$C$41,MAX(0,Входы!$C$22-L129)/Входы!$C$41,MAX(0,Входы!$C$58-SUM(J121:J128))/Входы!$C$41,Входы!$C$39/Входы!$C$41)</f>
        <v>1</v>
      </c>
      <c r="J129" s="18">
        <f>I129*Входы!$C$41</f>
        <v>0.5</v>
      </c>
      <c r="K129" s="18">
        <f t="shared" si="25"/>
        <v>0.5</v>
      </c>
      <c r="L129" s="18">
        <f t="shared" si="32"/>
        <v>12</v>
      </c>
      <c r="M129" s="18">
        <f t="shared" si="26"/>
        <v>12</v>
      </c>
      <c r="N129" s="18">
        <f t="shared" si="27"/>
        <v>12</v>
      </c>
      <c r="O129" s="18">
        <f>I129*Входы!$C$40</f>
        <v>20</v>
      </c>
      <c r="P129" s="18">
        <f>J129*Входы!$C$80</f>
        <v>10</v>
      </c>
      <c r="Q129" s="18">
        <f>N129*Входы!$C$53/12</f>
        <v>12</v>
      </c>
      <c r="R129" s="8">
        <f>N129*Входы!$C$75</f>
        <v>300000</v>
      </c>
      <c r="S129" s="8">
        <f>J129*Входы!$C$77</f>
        <v>40000</v>
      </c>
      <c r="T129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29" s="8">
        <f>0</f>
        <v>0</v>
      </c>
      <c r="V129" s="8">
        <f>Входы!$C$154</f>
        <v>10000</v>
      </c>
      <c r="W129" s="8">
        <f>IF(L129&gt;=Входы!$C$50,Входы!$C$51,0)</f>
        <v>200000</v>
      </c>
      <c r="X129" s="8">
        <f>I129*Входы!$C$40*Входы!$C$81</f>
        <v>50000</v>
      </c>
      <c r="Y129" s="8">
        <f>J129*(Входы!$C$80*Входы!$C$81+Входы!$C$82)</f>
        <v>32500</v>
      </c>
      <c r="Z129" s="8">
        <f>J129*Входы!$C$96*Входы!$C$75*12</f>
        <v>15000</v>
      </c>
      <c r="AA129" s="8">
        <f>N129*Входы!$C$52</f>
        <v>30000</v>
      </c>
      <c r="AB129" s="8">
        <f t="shared" si="28"/>
        <v>365870.85</v>
      </c>
      <c r="AC129" s="8">
        <f t="shared" si="29"/>
        <v>-25870.849999999977</v>
      </c>
      <c r="AD129" s="8">
        <f t="shared" si="33"/>
        <v>621661.23000000021</v>
      </c>
      <c r="AE129" s="18">
        <f>ROUNDUP((T129+U129+V129+W129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29" s="24" t="str">
        <f t="shared" si="30"/>
        <v>Нет</v>
      </c>
      <c r="AG129" s="8">
        <f t="shared" si="31"/>
        <v>-65870.849999999977</v>
      </c>
    </row>
    <row r="130" spans="1:33" ht="25.5" x14ac:dyDescent="0.25">
      <c r="A130" s="2" t="s">
        <v>656</v>
      </c>
      <c r="B130" s="12">
        <v>62</v>
      </c>
      <c r="C130" s="2" t="s">
        <v>742</v>
      </c>
      <c r="D130" s="2" t="s">
        <v>743</v>
      </c>
      <c r="E130" s="18">
        <f>Входы!$C$36</f>
        <v>80</v>
      </c>
      <c r="F130" s="18">
        <f>E130*Входы!$C$37/Входы!$C$36</f>
        <v>24</v>
      </c>
      <c r="G130" s="18">
        <f>F130*Входы!$C$38/Входы!$C$37</f>
        <v>12</v>
      </c>
      <c r="H130" s="18">
        <f>Входы!$C$28/12/Входы!$C$40</f>
        <v>1</v>
      </c>
      <c r="I130" s="18">
        <f>MIN(G130,H130,(Входы!$C$31/12/Входы!$C$80)/Входы!$C$41,MAX(0,Входы!$C$34/Входы!$C$55-L130+K130)/Входы!$C$41,MAX(0,Входы!$C$22-L130)/Входы!$C$41,MAX(0,Входы!$C$58-SUM(J121:J129))/Входы!$C$41,Входы!$C$39/Входы!$C$41)</f>
        <v>1</v>
      </c>
      <c r="J130" s="18">
        <f>I130*Входы!$C$41</f>
        <v>0.5</v>
      </c>
      <c r="K130" s="18">
        <f t="shared" si="25"/>
        <v>0.5</v>
      </c>
      <c r="L130" s="18">
        <f t="shared" si="32"/>
        <v>12</v>
      </c>
      <c r="M130" s="18">
        <f t="shared" si="26"/>
        <v>12</v>
      </c>
      <c r="N130" s="18">
        <f t="shared" si="27"/>
        <v>12</v>
      </c>
      <c r="O130" s="18">
        <f>I130*Входы!$C$40</f>
        <v>20</v>
      </c>
      <c r="P130" s="18">
        <f>J130*Входы!$C$80</f>
        <v>10</v>
      </c>
      <c r="Q130" s="18">
        <f>N130*Входы!$C$53/12</f>
        <v>12</v>
      </c>
      <c r="R130" s="8">
        <f>N130*Входы!$C$75</f>
        <v>300000</v>
      </c>
      <c r="S130" s="8">
        <f>J130*Входы!$C$77</f>
        <v>40000</v>
      </c>
      <c r="T130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30" s="8">
        <f>0</f>
        <v>0</v>
      </c>
      <c r="V130" s="8">
        <f>Входы!$C$154</f>
        <v>10000</v>
      </c>
      <c r="W130" s="8">
        <f>IF(L130&gt;=Входы!$C$50,Входы!$C$51,0)</f>
        <v>200000</v>
      </c>
      <c r="X130" s="8">
        <f>I130*Входы!$C$40*Входы!$C$81</f>
        <v>50000</v>
      </c>
      <c r="Y130" s="8">
        <f>J130*(Входы!$C$80*Входы!$C$81+Входы!$C$82)</f>
        <v>32500</v>
      </c>
      <c r="Z130" s="8">
        <f>J130*Входы!$C$96*Входы!$C$75*12</f>
        <v>15000</v>
      </c>
      <c r="AA130" s="8">
        <f>N130*Входы!$C$52</f>
        <v>30000</v>
      </c>
      <c r="AB130" s="8">
        <f t="shared" si="28"/>
        <v>365870.85</v>
      </c>
      <c r="AC130" s="8">
        <f t="shared" si="29"/>
        <v>-25870.849999999977</v>
      </c>
      <c r="AD130" s="8">
        <f t="shared" si="33"/>
        <v>595790.38000000024</v>
      </c>
      <c r="AE130" s="18">
        <f>ROUNDUP((T130+U130+V130+W130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30" s="24" t="str">
        <f t="shared" si="30"/>
        <v>Нет</v>
      </c>
      <c r="AG130" s="8">
        <f t="shared" si="31"/>
        <v>-65870.849999999977</v>
      </c>
    </row>
    <row r="131" spans="1:33" ht="25.5" x14ac:dyDescent="0.25">
      <c r="A131" s="2" t="s">
        <v>656</v>
      </c>
      <c r="B131" s="12">
        <v>63</v>
      </c>
      <c r="C131" s="2" t="s">
        <v>742</v>
      </c>
      <c r="D131" s="2" t="s">
        <v>743</v>
      </c>
      <c r="E131" s="18">
        <f>Входы!$C$36</f>
        <v>80</v>
      </c>
      <c r="F131" s="18">
        <f>E131*Входы!$C$37/Входы!$C$36</f>
        <v>24</v>
      </c>
      <c r="G131" s="18">
        <f>F131*Входы!$C$38/Входы!$C$37</f>
        <v>12</v>
      </c>
      <c r="H131" s="18">
        <f>Входы!$C$28/12/Входы!$C$40</f>
        <v>1</v>
      </c>
      <c r="I131" s="18">
        <f>MIN(G131,H131,(Входы!$C$31/12/Входы!$C$80)/Входы!$C$41,MAX(0,Входы!$C$34/Входы!$C$55-L131+K131)/Входы!$C$41,MAX(0,Входы!$C$22-L131)/Входы!$C$41,MAX(0,Входы!$C$58-SUM(J121:J130))/Входы!$C$41,Входы!$C$39/Входы!$C$41)</f>
        <v>1</v>
      </c>
      <c r="J131" s="18">
        <f>I131*Входы!$C$41</f>
        <v>0.5</v>
      </c>
      <c r="K131" s="18">
        <f t="shared" si="25"/>
        <v>0.5</v>
      </c>
      <c r="L131" s="18">
        <f t="shared" si="32"/>
        <v>12</v>
      </c>
      <c r="M131" s="18">
        <f t="shared" si="26"/>
        <v>12</v>
      </c>
      <c r="N131" s="18">
        <f t="shared" si="27"/>
        <v>12</v>
      </c>
      <c r="O131" s="18">
        <f>I131*Входы!$C$40</f>
        <v>20</v>
      </c>
      <c r="P131" s="18">
        <f>J131*Входы!$C$80</f>
        <v>10</v>
      </c>
      <c r="Q131" s="18">
        <f>N131*Входы!$C$53/12</f>
        <v>12</v>
      </c>
      <c r="R131" s="8">
        <f>N131*Входы!$C$75</f>
        <v>300000</v>
      </c>
      <c r="S131" s="8">
        <f>J131*Входы!$C$77</f>
        <v>40000</v>
      </c>
      <c r="T131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31" s="8">
        <f>0</f>
        <v>0</v>
      </c>
      <c r="V131" s="8">
        <f>Входы!$C$154</f>
        <v>10000</v>
      </c>
      <c r="W131" s="8">
        <f>IF(L131&gt;=Входы!$C$50,Входы!$C$51,0)</f>
        <v>200000</v>
      </c>
      <c r="X131" s="8">
        <f>I131*Входы!$C$40*Входы!$C$81</f>
        <v>50000</v>
      </c>
      <c r="Y131" s="8">
        <f>J131*(Входы!$C$80*Входы!$C$81+Входы!$C$82)</f>
        <v>32500</v>
      </c>
      <c r="Z131" s="8">
        <f>J131*Входы!$C$96*Входы!$C$75*12</f>
        <v>15000</v>
      </c>
      <c r="AA131" s="8">
        <f>N131*Входы!$C$52</f>
        <v>30000</v>
      </c>
      <c r="AB131" s="8">
        <f t="shared" si="28"/>
        <v>365870.85</v>
      </c>
      <c r="AC131" s="8">
        <f t="shared" si="29"/>
        <v>-25870.849999999977</v>
      </c>
      <c r="AD131" s="8">
        <f t="shared" si="33"/>
        <v>569919.53000000026</v>
      </c>
      <c r="AE131" s="18">
        <f>ROUNDUP((T131+U131+V131+W131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31" s="24" t="str">
        <f t="shared" si="30"/>
        <v>Нет</v>
      </c>
      <c r="AG131" s="8">
        <f t="shared" si="31"/>
        <v>-65870.849999999977</v>
      </c>
    </row>
    <row r="132" spans="1:33" ht="25.5" x14ac:dyDescent="0.25">
      <c r="A132" s="2" t="s">
        <v>656</v>
      </c>
      <c r="B132" s="12">
        <v>64</v>
      </c>
      <c r="C132" s="2" t="s">
        <v>742</v>
      </c>
      <c r="D132" s="2" t="s">
        <v>743</v>
      </c>
      <c r="E132" s="18">
        <f>Входы!$C$36</f>
        <v>80</v>
      </c>
      <c r="F132" s="18">
        <f>E132*Входы!$C$37/Входы!$C$36</f>
        <v>24</v>
      </c>
      <c r="G132" s="18">
        <f>F132*Входы!$C$38/Входы!$C$37</f>
        <v>12</v>
      </c>
      <c r="H132" s="18">
        <f>Входы!$C$28/12/Входы!$C$40</f>
        <v>1</v>
      </c>
      <c r="I132" s="18">
        <f>MIN(G132,H132,(Входы!$C$31/12/Входы!$C$80)/Входы!$C$41,MAX(0,Входы!$C$34/Входы!$C$55-L132+K132)/Входы!$C$41,MAX(0,Входы!$C$22-L132)/Входы!$C$41,MAX(0,Входы!$C$58-SUM(J121:J131))/Входы!$C$41,Входы!$C$39/Входы!$C$41)</f>
        <v>1</v>
      </c>
      <c r="J132" s="18">
        <f>I132*Входы!$C$41</f>
        <v>0.5</v>
      </c>
      <c r="K132" s="18">
        <f t="shared" si="25"/>
        <v>0.5</v>
      </c>
      <c r="L132" s="18">
        <f t="shared" si="32"/>
        <v>12</v>
      </c>
      <c r="M132" s="18">
        <f t="shared" si="26"/>
        <v>12</v>
      </c>
      <c r="N132" s="18">
        <f t="shared" si="27"/>
        <v>12</v>
      </c>
      <c r="O132" s="18">
        <f>I132*Входы!$C$40</f>
        <v>20</v>
      </c>
      <c r="P132" s="18">
        <f>J132*Входы!$C$80</f>
        <v>10</v>
      </c>
      <c r="Q132" s="18">
        <f>N132*Входы!$C$53/12</f>
        <v>12</v>
      </c>
      <c r="R132" s="8">
        <f>N132*Входы!$C$75</f>
        <v>300000</v>
      </c>
      <c r="S132" s="8">
        <f>J132*Входы!$C$77</f>
        <v>40000</v>
      </c>
      <c r="T132" s="8">
        <f>0+Входы!$C$86*Входы!$C$145*(Входы!$C$146*Входы!$C$147+Входы!$C$148*Входы!$C$89)+Входы!$C$86*Входы!$C$149*Входы!$C$90+Входы!$C$150+Входы!$C$151+Входы!$C$92/12</f>
        <v>28370.85</v>
      </c>
      <c r="U132" s="8">
        <f>0</f>
        <v>0</v>
      </c>
      <c r="V132" s="8">
        <f>Входы!$C$154</f>
        <v>10000</v>
      </c>
      <c r="W132" s="8">
        <f>IF(L132&gt;=Входы!$C$50,Входы!$C$51,0)</f>
        <v>200000</v>
      </c>
      <c r="X132" s="8">
        <f>I132*Входы!$C$40*Входы!$C$81</f>
        <v>50000</v>
      </c>
      <c r="Y132" s="8">
        <f>J132*(Входы!$C$80*Входы!$C$81+Входы!$C$82)</f>
        <v>32500</v>
      </c>
      <c r="Z132" s="8">
        <f>J132*Входы!$C$96*Входы!$C$75*12</f>
        <v>15000</v>
      </c>
      <c r="AA132" s="8">
        <f>N132*Входы!$C$52</f>
        <v>30000</v>
      </c>
      <c r="AB132" s="8">
        <f t="shared" si="28"/>
        <v>365870.85</v>
      </c>
      <c r="AC132" s="8">
        <f t="shared" si="29"/>
        <v>-25870.849999999977</v>
      </c>
      <c r="AD132" s="8">
        <f t="shared" si="33"/>
        <v>544048.68000000028</v>
      </c>
      <c r="AE132" s="18">
        <f>ROUNDUP((T132+U132+V132+W132+(MIN(Входы!$C$58,Входы!$C$28/Входы!$C$40*Входы!$C$41,Входы!$C$31/Входы!$C$80,Входы!$C$39*12))/12*(Входы!$C$40*Входы!$C$81/Входы!$C$41+Входы!$C$96*Входы!$C$75*12))/(Входы!$C$75-Входы!$C$52),0)</f>
        <v>14</v>
      </c>
      <c r="AF132" s="24" t="str">
        <f t="shared" si="30"/>
        <v>Нет</v>
      </c>
      <c r="AG132" s="8">
        <f t="shared" si="31"/>
        <v>-65870.849999999977</v>
      </c>
    </row>
    <row r="133" spans="1:33" x14ac:dyDescent="0.25">
      <c r="A133" s="2" t="s">
        <v>657</v>
      </c>
      <c r="B133" s="12">
        <v>1</v>
      </c>
      <c r="C133" s="2" t="s">
        <v>735</v>
      </c>
      <c r="D133" s="2" t="s">
        <v>736</v>
      </c>
      <c r="E133" s="18">
        <f>0</f>
        <v>0</v>
      </c>
      <c r="F133" s="18">
        <f>0</f>
        <v>0</v>
      </c>
      <c r="G133" s="18">
        <f>0</f>
        <v>0</v>
      </c>
      <c r="H133" s="18">
        <f>0</f>
        <v>0</v>
      </c>
      <c r="I133" s="18">
        <f>0</f>
        <v>0</v>
      </c>
      <c r="J133" s="18">
        <f>0</f>
        <v>0</v>
      </c>
      <c r="K133" s="18">
        <f>0</f>
        <v>0</v>
      </c>
      <c r="L133" s="18">
        <f>0</f>
        <v>0</v>
      </c>
      <c r="M133" s="18">
        <f t="shared" ref="M133:M164" si="34">MAX(0,L133+J133-K133)</f>
        <v>0</v>
      </c>
      <c r="N133" s="18">
        <f t="shared" ref="N133:N164" si="35">(L133+M133)/2</f>
        <v>0</v>
      </c>
      <c r="O133" s="18">
        <f>I133*Входы!$C$40</f>
        <v>0</v>
      </c>
      <c r="P133" s="18">
        <f>J133*Входы!$C$80</f>
        <v>0</v>
      </c>
      <c r="Q133" s="18">
        <f>N133*Входы!$C$55/12</f>
        <v>0</v>
      </c>
      <c r="R133" s="8">
        <f>N133*Входы!$C$75</f>
        <v>0</v>
      </c>
      <c r="S133" s="8">
        <f>J133*Входы!$C$77</f>
        <v>0</v>
      </c>
      <c r="T133" s="8">
        <f>0+Входы!$C$86*Входы!$C$110*(Входы!$C$111*Входы!$C$112+Входы!$C$113*Входы!$C$89)+Входы!$C$86*Входы!$C$114*Входы!$C$90+Входы!$C$115+Входы!$C$116+Входы!$C$117</f>
        <v>3709.5600000000004</v>
      </c>
      <c r="U133" s="8">
        <f>0</f>
        <v>0</v>
      </c>
      <c r="V133" s="8">
        <f>0</f>
        <v>0</v>
      </c>
      <c r="W133" s="8">
        <f>0</f>
        <v>0</v>
      </c>
      <c r="X133" s="8">
        <f>I133*Входы!$C$40*Входы!$C$81</f>
        <v>0</v>
      </c>
      <c r="Y133" s="8">
        <f>J133*(Входы!$C$80*Входы!$C$81+Входы!$C$82)</f>
        <v>0</v>
      </c>
      <c r="Z133" s="8">
        <f>J133*Входы!$C$96*Входы!$C$75*12</f>
        <v>0</v>
      </c>
      <c r="AA133" s="8">
        <f>N133*Входы!$C$83</f>
        <v>0</v>
      </c>
      <c r="AB133" s="8">
        <f t="shared" ref="AB133:AB164" si="36">SUM(T133:AA133)</f>
        <v>3709.5600000000004</v>
      </c>
      <c r="AC133" s="8">
        <f t="shared" ref="AC133:AC164" si="37">SUM(R133:S133)-AB133</f>
        <v>-3709.5600000000004</v>
      </c>
      <c r="AD133" s="8">
        <f>AC133</f>
        <v>-3709.5600000000004</v>
      </c>
      <c r="AE133" s="18" t="str">
        <f>""</f>
        <v/>
      </c>
      <c r="AF133" s="24" t="str">
        <f t="shared" ref="AF133:AF164" si="38">IF(AE133&gt;0,IF(M133&gt;=AE133,"Да","Нет"),"")</f>
        <v>Нет</v>
      </c>
      <c r="AG133" s="8">
        <f t="shared" ref="AG133:AG164" si="39">R133-AB133</f>
        <v>-3709.5600000000004</v>
      </c>
    </row>
    <row r="134" spans="1:33" x14ac:dyDescent="0.25">
      <c r="A134" s="2" t="s">
        <v>657</v>
      </c>
      <c r="B134" s="12">
        <v>2</v>
      </c>
      <c r="C134" s="2" t="s">
        <v>735</v>
      </c>
      <c r="D134" s="2" t="s">
        <v>736</v>
      </c>
      <c r="E134" s="18">
        <f>0</f>
        <v>0</v>
      </c>
      <c r="F134" s="18">
        <f>0</f>
        <v>0</v>
      </c>
      <c r="G134" s="18">
        <f>0</f>
        <v>0</v>
      </c>
      <c r="H134" s="18">
        <f>0</f>
        <v>0</v>
      </c>
      <c r="I134" s="18">
        <f>0</f>
        <v>0</v>
      </c>
      <c r="J134" s="18">
        <f>0</f>
        <v>0</v>
      </c>
      <c r="K134" s="18">
        <f>0</f>
        <v>0</v>
      </c>
      <c r="L134" s="18">
        <f t="shared" ref="L134:L165" si="40">M133</f>
        <v>0</v>
      </c>
      <c r="M134" s="18">
        <f t="shared" si="34"/>
        <v>0</v>
      </c>
      <c r="N134" s="18">
        <f t="shared" si="35"/>
        <v>0</v>
      </c>
      <c r="O134" s="18">
        <f>I134*Входы!$C$40</f>
        <v>0</v>
      </c>
      <c r="P134" s="18">
        <f>J134*Входы!$C$80</f>
        <v>0</v>
      </c>
      <c r="Q134" s="18">
        <f>N134*Входы!$C$55/12</f>
        <v>0</v>
      </c>
      <c r="R134" s="8">
        <f>N134*Входы!$C$75</f>
        <v>0</v>
      </c>
      <c r="S134" s="8">
        <f>J134*Входы!$C$77</f>
        <v>0</v>
      </c>
      <c r="T134" s="8">
        <f>0+Входы!$C$86*Входы!$C$110*(Входы!$C$111*Входы!$C$112+Входы!$C$113*Входы!$C$89)+Входы!$C$86*Входы!$C$114*Входы!$C$90+Входы!$C$115+Входы!$C$116</f>
        <v>3510.5600000000004</v>
      </c>
      <c r="U134" s="8">
        <f>0</f>
        <v>0</v>
      </c>
      <c r="V134" s="8">
        <f>0</f>
        <v>0</v>
      </c>
      <c r="W134" s="8">
        <f>0</f>
        <v>0</v>
      </c>
      <c r="X134" s="8">
        <f>I134*Входы!$C$40*Входы!$C$81</f>
        <v>0</v>
      </c>
      <c r="Y134" s="8">
        <f>J134*(Входы!$C$80*Входы!$C$81+Входы!$C$82)</f>
        <v>0</v>
      </c>
      <c r="Z134" s="8">
        <f>J134*Входы!$C$96*Входы!$C$75*12</f>
        <v>0</v>
      </c>
      <c r="AA134" s="8">
        <f>N134*Входы!$C$83</f>
        <v>0</v>
      </c>
      <c r="AB134" s="8">
        <f t="shared" si="36"/>
        <v>3510.5600000000004</v>
      </c>
      <c r="AC134" s="8">
        <f t="shared" si="37"/>
        <v>-3510.5600000000004</v>
      </c>
      <c r="AD134" s="8">
        <f t="shared" ref="AD134:AD165" si="41">AD133+AC134</f>
        <v>-7220.1200000000008</v>
      </c>
      <c r="AE134" s="18" t="str">
        <f>""</f>
        <v/>
      </c>
      <c r="AF134" s="24" t="str">
        <f t="shared" si="38"/>
        <v>Нет</v>
      </c>
      <c r="AG134" s="8">
        <f t="shared" si="39"/>
        <v>-3510.5600000000004</v>
      </c>
    </row>
    <row r="135" spans="1:33" x14ac:dyDescent="0.25">
      <c r="A135" s="2" t="s">
        <v>657</v>
      </c>
      <c r="B135" s="12">
        <v>3</v>
      </c>
      <c r="C135" s="2" t="s">
        <v>737</v>
      </c>
      <c r="D135" s="2" t="s">
        <v>736</v>
      </c>
      <c r="E135" s="18">
        <f>0</f>
        <v>0</v>
      </c>
      <c r="F135" s="18">
        <f>0</f>
        <v>0</v>
      </c>
      <c r="G135" s="18">
        <f>0</f>
        <v>0</v>
      </c>
      <c r="H135" s="18">
        <f>0</f>
        <v>0</v>
      </c>
      <c r="I135" s="18">
        <f>0</f>
        <v>0</v>
      </c>
      <c r="J135" s="18">
        <f>0</f>
        <v>0</v>
      </c>
      <c r="K135" s="18">
        <f>0</f>
        <v>0</v>
      </c>
      <c r="L135" s="18">
        <f t="shared" si="40"/>
        <v>0</v>
      </c>
      <c r="M135" s="18">
        <f t="shared" si="34"/>
        <v>0</v>
      </c>
      <c r="N135" s="18">
        <f t="shared" si="35"/>
        <v>0</v>
      </c>
      <c r="O135" s="18">
        <f>I135*Входы!$C$40</f>
        <v>0</v>
      </c>
      <c r="P135" s="18">
        <f>J135*Входы!$C$80</f>
        <v>0</v>
      </c>
      <c r="Q135" s="18">
        <f>N135*Входы!$C$55/12</f>
        <v>0</v>
      </c>
      <c r="R135" s="8">
        <f>N135*Входы!$C$75</f>
        <v>0</v>
      </c>
      <c r="S135" s="8">
        <f>J135*Входы!$C$77</f>
        <v>0</v>
      </c>
      <c r="T135" s="8">
        <f>Входы!$C$119*Входы!$C$120*Входы!$C$93*Входы!$C$95+Входы!$C$86*Входы!$C$121*(Входы!$C$122*Входы!$C$123+Входы!$C$124*Входы!$C$89)+Входы!$C$86*Входы!$C$125*Входы!$C$90+Входы!$C$126+Входы!$C$127</f>
        <v>138452.4</v>
      </c>
      <c r="U135" s="8">
        <f>0</f>
        <v>0</v>
      </c>
      <c r="V135" s="8">
        <f>0</f>
        <v>0</v>
      </c>
      <c r="W135" s="8">
        <f>0</f>
        <v>0</v>
      </c>
      <c r="X135" s="8">
        <f>I135*Входы!$C$40*Входы!$C$81</f>
        <v>0</v>
      </c>
      <c r="Y135" s="8">
        <f>J135*(Входы!$C$80*Входы!$C$81+Входы!$C$82)</f>
        <v>0</v>
      </c>
      <c r="Z135" s="8">
        <f>J135*Входы!$C$96*Входы!$C$75*12</f>
        <v>0</v>
      </c>
      <c r="AA135" s="8">
        <f>N135*Входы!$C$83</f>
        <v>0</v>
      </c>
      <c r="AB135" s="8">
        <f t="shared" si="36"/>
        <v>138452.4</v>
      </c>
      <c r="AC135" s="8">
        <f t="shared" si="37"/>
        <v>-138452.4</v>
      </c>
      <c r="AD135" s="8">
        <f t="shared" si="41"/>
        <v>-145672.51999999999</v>
      </c>
      <c r="AE135" s="18" t="str">
        <f>""</f>
        <v/>
      </c>
      <c r="AF135" s="24" t="str">
        <f t="shared" si="38"/>
        <v>Нет</v>
      </c>
      <c r="AG135" s="8">
        <f t="shared" si="39"/>
        <v>-138452.4</v>
      </c>
    </row>
    <row r="136" spans="1:33" x14ac:dyDescent="0.25">
      <c r="A136" s="2" t="s">
        <v>657</v>
      </c>
      <c r="B136" s="12">
        <v>4</v>
      </c>
      <c r="C136" s="2" t="s">
        <v>737</v>
      </c>
      <c r="D136" s="2" t="s">
        <v>736</v>
      </c>
      <c r="E136" s="18">
        <f>0</f>
        <v>0</v>
      </c>
      <c r="F136" s="18">
        <f>0</f>
        <v>0</v>
      </c>
      <c r="G136" s="18">
        <f>0</f>
        <v>0</v>
      </c>
      <c r="H136" s="18">
        <f>0</f>
        <v>0</v>
      </c>
      <c r="I136" s="18">
        <f>0</f>
        <v>0</v>
      </c>
      <c r="J136" s="18">
        <f>0</f>
        <v>0</v>
      </c>
      <c r="K136" s="18">
        <f>0</f>
        <v>0</v>
      </c>
      <c r="L136" s="18">
        <f t="shared" si="40"/>
        <v>0</v>
      </c>
      <c r="M136" s="18">
        <f t="shared" si="34"/>
        <v>0</v>
      </c>
      <c r="N136" s="18">
        <f t="shared" si="35"/>
        <v>0</v>
      </c>
      <c r="O136" s="18">
        <f>I136*Входы!$C$40</f>
        <v>0</v>
      </c>
      <c r="P136" s="18">
        <f>J136*Входы!$C$80</f>
        <v>0</v>
      </c>
      <c r="Q136" s="18">
        <f>N136*Входы!$C$55/12</f>
        <v>0</v>
      </c>
      <c r="R136" s="8">
        <f>N136*Входы!$C$75</f>
        <v>0</v>
      </c>
      <c r="S136" s="8">
        <f>J136*Входы!$C$77</f>
        <v>0</v>
      </c>
      <c r="T136" s="8">
        <f>Входы!$C$119*Входы!$C$120*Входы!$C$93*Входы!$C$95+Входы!$C$86*Входы!$C$121*(Входы!$C$122*Входы!$C$123+Входы!$C$124*Входы!$C$89)+Входы!$C$86*Входы!$C$125*Входы!$C$90+Входы!$C$126+Входы!$C$127</f>
        <v>138452.4</v>
      </c>
      <c r="U136" s="8">
        <f>0</f>
        <v>0</v>
      </c>
      <c r="V136" s="8">
        <f>0</f>
        <v>0</v>
      </c>
      <c r="W136" s="8">
        <f>0</f>
        <v>0</v>
      </c>
      <c r="X136" s="8">
        <f>I136*Входы!$C$40*Входы!$C$81</f>
        <v>0</v>
      </c>
      <c r="Y136" s="8">
        <f>J136*(Входы!$C$80*Входы!$C$81+Входы!$C$82)</f>
        <v>0</v>
      </c>
      <c r="Z136" s="8">
        <f>J136*Входы!$C$96*Входы!$C$75*12</f>
        <v>0</v>
      </c>
      <c r="AA136" s="8">
        <f>N136*Входы!$C$83</f>
        <v>0</v>
      </c>
      <c r="AB136" s="8">
        <f t="shared" si="36"/>
        <v>138452.4</v>
      </c>
      <c r="AC136" s="8">
        <f t="shared" si="37"/>
        <v>-138452.4</v>
      </c>
      <c r="AD136" s="8">
        <f t="shared" si="41"/>
        <v>-284124.92</v>
      </c>
      <c r="AE136" s="18" t="str">
        <f>""</f>
        <v/>
      </c>
      <c r="AF136" s="24" t="str">
        <f t="shared" si="38"/>
        <v>Нет</v>
      </c>
      <c r="AG136" s="8">
        <f t="shared" si="39"/>
        <v>-138452.4</v>
      </c>
    </row>
    <row r="137" spans="1:33" ht="25.5" x14ac:dyDescent="0.25">
      <c r="A137" s="2" t="s">
        <v>657</v>
      </c>
      <c r="B137" s="12">
        <v>5</v>
      </c>
      <c r="C137" s="2" t="s">
        <v>701</v>
      </c>
      <c r="D137" s="2" t="s">
        <v>738</v>
      </c>
      <c r="E137" s="18">
        <f>Входы!$C$97</f>
        <v>20</v>
      </c>
      <c r="F137" s="18">
        <f>E137*Входы!$C$98/Входы!$C$97</f>
        <v>6</v>
      </c>
      <c r="G137" s="18">
        <f>F137*Входы!$C$99/Входы!$C$98</f>
        <v>3</v>
      </c>
      <c r="H137" s="18">
        <f>Входы!$C$26/12/Входы!$C$40</f>
        <v>0.5</v>
      </c>
      <c r="I137" s="18">
        <f>MIN(G137,H137,(Входы!$C$29/12/Входы!$C$80)/Входы!$C$41,MAX(0,Входы!$C$32/Входы!$C$55-L137+K137)/Входы!$C$41,MAX(0,Входы!$C$21-L137)/Входы!$C$41,MAX(0,Входы!$C$56-0)/Входы!$C$41,Входы!$C$100/Входы!$C$41)</f>
        <v>0.5</v>
      </c>
      <c r="J137" s="18">
        <f>I137*Входы!$C$41</f>
        <v>0.25</v>
      </c>
      <c r="K137" s="18">
        <f>0</f>
        <v>0</v>
      </c>
      <c r="L137" s="18">
        <f t="shared" si="40"/>
        <v>0</v>
      </c>
      <c r="M137" s="18">
        <f t="shared" si="34"/>
        <v>0.25</v>
      </c>
      <c r="N137" s="18">
        <f t="shared" si="35"/>
        <v>0.125</v>
      </c>
      <c r="O137" s="18">
        <f>I137*Входы!$C$40</f>
        <v>10</v>
      </c>
      <c r="P137" s="18">
        <f>J137*Входы!$C$80</f>
        <v>5</v>
      </c>
      <c r="Q137" s="18">
        <f>N137*Входы!$C$55/12</f>
        <v>0.25</v>
      </c>
      <c r="R137" s="8">
        <f>N137*Входы!$C$75</f>
        <v>3125</v>
      </c>
      <c r="S137" s="8">
        <f>J137*Входы!$C$77</f>
        <v>20000</v>
      </c>
      <c r="T137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37" s="8">
        <f>Входы!$C$94*Входы!$C$140*Входы!$C$95</f>
        <v>48750</v>
      </c>
      <c r="V137" s="8">
        <f>Входы!$C$141</f>
        <v>10000</v>
      </c>
      <c r="W137" s="8">
        <f>0</f>
        <v>0</v>
      </c>
      <c r="X137" s="8">
        <f>I137*Входы!$C$40*Входы!$C$81</f>
        <v>25000</v>
      </c>
      <c r="Y137" s="8">
        <f>J137*(Входы!$C$80*Входы!$C$81+Входы!$C$82)</f>
        <v>16250</v>
      </c>
      <c r="Z137" s="8">
        <f>J137*Входы!$C$96*Входы!$C$75*12</f>
        <v>7500</v>
      </c>
      <c r="AA137" s="8">
        <f>N137*Входы!$C$83</f>
        <v>625</v>
      </c>
      <c r="AB137" s="8">
        <f t="shared" si="36"/>
        <v>252293.8</v>
      </c>
      <c r="AC137" s="8">
        <f t="shared" si="37"/>
        <v>-229168.8</v>
      </c>
      <c r="AD137" s="8">
        <f t="shared" si="41"/>
        <v>-513293.72</v>
      </c>
      <c r="AE137" s="18">
        <f>ROUNDUP((T137+U137+V137+W137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37" s="24" t="str">
        <f t="shared" si="38"/>
        <v>Нет</v>
      </c>
      <c r="AG137" s="8">
        <f t="shared" si="39"/>
        <v>-249168.8</v>
      </c>
    </row>
    <row r="138" spans="1:33" ht="25.5" x14ac:dyDescent="0.25">
      <c r="A138" s="2" t="s">
        <v>657</v>
      </c>
      <c r="B138" s="12">
        <v>6</v>
      </c>
      <c r="C138" s="2" t="s">
        <v>701</v>
      </c>
      <c r="D138" s="2" t="s">
        <v>738</v>
      </c>
      <c r="E138" s="18">
        <f>Входы!$C$97</f>
        <v>20</v>
      </c>
      <c r="F138" s="18">
        <f>E138*Входы!$C$98/Входы!$C$97</f>
        <v>6</v>
      </c>
      <c r="G138" s="18">
        <f>F138*Входы!$C$99/Входы!$C$98</f>
        <v>3</v>
      </c>
      <c r="H138" s="18">
        <f>Входы!$C$26/12/Входы!$C$40</f>
        <v>0.5</v>
      </c>
      <c r="I138" s="18">
        <f>MIN(G138,H138,(Входы!$C$29/12/Входы!$C$80)/Входы!$C$41,MAX(0,Входы!$C$32/Входы!$C$55-L138+K138)/Входы!$C$41,MAX(0,Входы!$C$21-L138)/Входы!$C$41,MAX(0,Входы!$C$56-SUM(J137:J137))/Входы!$C$41,Входы!$C$100/Входы!$C$41)</f>
        <v>0.5</v>
      </c>
      <c r="J138" s="18">
        <f>I138*Входы!$C$41</f>
        <v>0.25</v>
      </c>
      <c r="K138" s="18">
        <f>0</f>
        <v>0</v>
      </c>
      <c r="L138" s="18">
        <f t="shared" si="40"/>
        <v>0.25</v>
      </c>
      <c r="M138" s="18">
        <f t="shared" si="34"/>
        <v>0.5</v>
      </c>
      <c r="N138" s="18">
        <f t="shared" si="35"/>
        <v>0.375</v>
      </c>
      <c r="O138" s="18">
        <f>I138*Входы!$C$40</f>
        <v>10</v>
      </c>
      <c r="P138" s="18">
        <f>J138*Входы!$C$80</f>
        <v>5</v>
      </c>
      <c r="Q138" s="18">
        <f>N138*Входы!$C$55/12</f>
        <v>0.75</v>
      </c>
      <c r="R138" s="8">
        <f>N138*Входы!$C$75</f>
        <v>9375</v>
      </c>
      <c r="S138" s="8">
        <f>J138*Входы!$C$77</f>
        <v>20000</v>
      </c>
      <c r="T138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38" s="8">
        <f>Входы!$C$94*Входы!$C$140*Входы!$C$95</f>
        <v>48750</v>
      </c>
      <c r="V138" s="8">
        <f>Входы!$C$141</f>
        <v>10000</v>
      </c>
      <c r="W138" s="8">
        <f>0</f>
        <v>0</v>
      </c>
      <c r="X138" s="8">
        <f>I138*Входы!$C$40*Входы!$C$81</f>
        <v>25000</v>
      </c>
      <c r="Y138" s="8">
        <f>J138*(Входы!$C$80*Входы!$C$81+Входы!$C$82)</f>
        <v>16250</v>
      </c>
      <c r="Z138" s="8">
        <f>J138*Входы!$C$96*Входы!$C$75*12</f>
        <v>7500</v>
      </c>
      <c r="AA138" s="8">
        <f>N138*Входы!$C$83</f>
        <v>1875</v>
      </c>
      <c r="AB138" s="8">
        <f t="shared" si="36"/>
        <v>253543.8</v>
      </c>
      <c r="AC138" s="8">
        <f t="shared" si="37"/>
        <v>-224168.8</v>
      </c>
      <c r="AD138" s="8">
        <f t="shared" si="41"/>
        <v>-737462.52</v>
      </c>
      <c r="AE138" s="18">
        <f>ROUNDUP((T138+U138+V138+W138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38" s="24" t="str">
        <f t="shared" si="38"/>
        <v>Нет</v>
      </c>
      <c r="AG138" s="8">
        <f t="shared" si="39"/>
        <v>-244168.8</v>
      </c>
    </row>
    <row r="139" spans="1:33" ht="25.5" x14ac:dyDescent="0.25">
      <c r="A139" s="2" t="s">
        <v>657</v>
      </c>
      <c r="B139" s="12">
        <v>7</v>
      </c>
      <c r="C139" s="2" t="s">
        <v>701</v>
      </c>
      <c r="D139" s="2" t="s">
        <v>738</v>
      </c>
      <c r="E139" s="18">
        <f>Входы!$C$97</f>
        <v>20</v>
      </c>
      <c r="F139" s="18">
        <f>E139*Входы!$C$98/Входы!$C$97</f>
        <v>6</v>
      </c>
      <c r="G139" s="18">
        <f>F139*Входы!$C$99/Входы!$C$98</f>
        <v>3</v>
      </c>
      <c r="H139" s="18">
        <f>Входы!$C$26/12/Входы!$C$40</f>
        <v>0.5</v>
      </c>
      <c r="I139" s="18">
        <f>MIN(G139,H139,(Входы!$C$29/12/Входы!$C$80)/Входы!$C$41,MAX(0,Входы!$C$32/Входы!$C$55-L139+K139)/Входы!$C$41,MAX(0,Входы!$C$21-L139)/Входы!$C$41,MAX(0,Входы!$C$56-SUM(J137:J138))/Входы!$C$41,Входы!$C$100/Входы!$C$41)</f>
        <v>0.5</v>
      </c>
      <c r="J139" s="18">
        <f>I139*Входы!$C$41</f>
        <v>0.25</v>
      </c>
      <c r="K139" s="18">
        <f>0</f>
        <v>0</v>
      </c>
      <c r="L139" s="18">
        <f t="shared" si="40"/>
        <v>0.5</v>
      </c>
      <c r="M139" s="18">
        <f t="shared" si="34"/>
        <v>0.75</v>
      </c>
      <c r="N139" s="18">
        <f t="shared" si="35"/>
        <v>0.625</v>
      </c>
      <c r="O139" s="18">
        <f>I139*Входы!$C$40</f>
        <v>10</v>
      </c>
      <c r="P139" s="18">
        <f>J139*Входы!$C$80</f>
        <v>5</v>
      </c>
      <c r="Q139" s="18">
        <f>N139*Входы!$C$55/12</f>
        <v>1.25</v>
      </c>
      <c r="R139" s="8">
        <f>N139*Входы!$C$75</f>
        <v>15625</v>
      </c>
      <c r="S139" s="8">
        <f>J139*Входы!$C$77</f>
        <v>20000</v>
      </c>
      <c r="T139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39" s="8">
        <f>Входы!$C$94*Входы!$C$140*Входы!$C$95</f>
        <v>48750</v>
      </c>
      <c r="V139" s="8">
        <f>Входы!$C$141</f>
        <v>10000</v>
      </c>
      <c r="W139" s="8">
        <f>0</f>
        <v>0</v>
      </c>
      <c r="X139" s="8">
        <f>I139*Входы!$C$40*Входы!$C$81</f>
        <v>25000</v>
      </c>
      <c r="Y139" s="8">
        <f>J139*(Входы!$C$80*Входы!$C$81+Входы!$C$82)</f>
        <v>16250</v>
      </c>
      <c r="Z139" s="8">
        <f>J139*Входы!$C$96*Входы!$C$75*12</f>
        <v>7500</v>
      </c>
      <c r="AA139" s="8">
        <f>N139*Входы!$C$83</f>
        <v>3125</v>
      </c>
      <c r="AB139" s="8">
        <f t="shared" si="36"/>
        <v>254793.8</v>
      </c>
      <c r="AC139" s="8">
        <f t="shared" si="37"/>
        <v>-219168.8</v>
      </c>
      <c r="AD139" s="8">
        <f t="shared" si="41"/>
        <v>-956631.32000000007</v>
      </c>
      <c r="AE139" s="18">
        <f>ROUNDUP((T139+U139+V139+W139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39" s="24" t="str">
        <f t="shared" si="38"/>
        <v>Нет</v>
      </c>
      <c r="AG139" s="8">
        <f t="shared" si="39"/>
        <v>-239168.8</v>
      </c>
    </row>
    <row r="140" spans="1:33" ht="25.5" x14ac:dyDescent="0.25">
      <c r="A140" s="2" t="s">
        <v>657</v>
      </c>
      <c r="B140" s="12">
        <v>8</v>
      </c>
      <c r="C140" s="2" t="s">
        <v>701</v>
      </c>
      <c r="D140" s="2" t="s">
        <v>738</v>
      </c>
      <c r="E140" s="18">
        <f>Входы!$C$97</f>
        <v>20</v>
      </c>
      <c r="F140" s="18">
        <f>E140*Входы!$C$98/Входы!$C$97</f>
        <v>6</v>
      </c>
      <c r="G140" s="18">
        <f>F140*Входы!$C$99/Входы!$C$98</f>
        <v>3</v>
      </c>
      <c r="H140" s="18">
        <f>Входы!$C$26/12/Входы!$C$40</f>
        <v>0.5</v>
      </c>
      <c r="I140" s="18">
        <f>MIN(G140,H140,(Входы!$C$29/12/Входы!$C$80)/Входы!$C$41,MAX(0,Входы!$C$32/Входы!$C$55-L140+K140)/Входы!$C$41,MAX(0,Входы!$C$21-L140)/Входы!$C$41,MAX(0,Входы!$C$56-SUM(J137:J139))/Входы!$C$41,Входы!$C$100/Входы!$C$41)</f>
        <v>0.5</v>
      </c>
      <c r="J140" s="18">
        <f>I140*Входы!$C$41</f>
        <v>0.25</v>
      </c>
      <c r="K140" s="18">
        <f>0</f>
        <v>0</v>
      </c>
      <c r="L140" s="18">
        <f t="shared" si="40"/>
        <v>0.75</v>
      </c>
      <c r="M140" s="18">
        <f t="shared" si="34"/>
        <v>1</v>
      </c>
      <c r="N140" s="18">
        <f t="shared" si="35"/>
        <v>0.875</v>
      </c>
      <c r="O140" s="18">
        <f>I140*Входы!$C$40</f>
        <v>10</v>
      </c>
      <c r="P140" s="18">
        <f>J140*Входы!$C$80</f>
        <v>5</v>
      </c>
      <c r="Q140" s="18">
        <f>N140*Входы!$C$55/12</f>
        <v>1.75</v>
      </c>
      <c r="R140" s="8">
        <f>N140*Входы!$C$75</f>
        <v>21875</v>
      </c>
      <c r="S140" s="8">
        <f>J140*Входы!$C$77</f>
        <v>20000</v>
      </c>
      <c r="T140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0" s="8">
        <f>Входы!$C$94*Входы!$C$140*Входы!$C$95</f>
        <v>48750</v>
      </c>
      <c r="V140" s="8">
        <f>Входы!$C$141</f>
        <v>10000</v>
      </c>
      <c r="W140" s="8">
        <f>0</f>
        <v>0</v>
      </c>
      <c r="X140" s="8">
        <f>I140*Входы!$C$40*Входы!$C$81</f>
        <v>25000</v>
      </c>
      <c r="Y140" s="8">
        <f>J140*(Входы!$C$80*Входы!$C$81+Входы!$C$82)</f>
        <v>16250</v>
      </c>
      <c r="Z140" s="8">
        <f>J140*Входы!$C$96*Входы!$C$75*12</f>
        <v>7500</v>
      </c>
      <c r="AA140" s="8">
        <f>N140*Входы!$C$83</f>
        <v>4375</v>
      </c>
      <c r="AB140" s="8">
        <f t="shared" si="36"/>
        <v>256043.8</v>
      </c>
      <c r="AC140" s="8">
        <f t="shared" si="37"/>
        <v>-214168.8</v>
      </c>
      <c r="AD140" s="8">
        <f t="shared" si="41"/>
        <v>-1170800.1200000001</v>
      </c>
      <c r="AE140" s="18">
        <f>ROUNDUP((T140+U140+V140+W140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0" s="24" t="str">
        <f t="shared" si="38"/>
        <v>Нет</v>
      </c>
      <c r="AG140" s="8">
        <f t="shared" si="39"/>
        <v>-234168.8</v>
      </c>
    </row>
    <row r="141" spans="1:33" ht="25.5" x14ac:dyDescent="0.25">
      <c r="A141" s="2" t="s">
        <v>657</v>
      </c>
      <c r="B141" s="12">
        <v>9</v>
      </c>
      <c r="C141" s="2" t="s">
        <v>701</v>
      </c>
      <c r="D141" s="2" t="s">
        <v>738</v>
      </c>
      <c r="E141" s="18">
        <f>Входы!$C$97</f>
        <v>20</v>
      </c>
      <c r="F141" s="18">
        <f>E141*Входы!$C$98/Входы!$C$97</f>
        <v>6</v>
      </c>
      <c r="G141" s="18">
        <f>F141*Входы!$C$99/Входы!$C$98</f>
        <v>3</v>
      </c>
      <c r="H141" s="18">
        <f>Входы!$C$26/12/Входы!$C$40</f>
        <v>0.5</v>
      </c>
      <c r="I141" s="18">
        <f>MIN(G141,H141,(Входы!$C$29/12/Входы!$C$80)/Входы!$C$41,MAX(0,Входы!$C$32/Входы!$C$55-L141+K141)/Входы!$C$41,MAX(0,Входы!$C$21-L141)/Входы!$C$41,MAX(0,Входы!$C$56-SUM(J137:J140))/Входы!$C$41,Входы!$C$100/Входы!$C$41)</f>
        <v>0.5</v>
      </c>
      <c r="J141" s="18">
        <f>I141*Входы!$C$41</f>
        <v>0.25</v>
      </c>
      <c r="K141" s="18">
        <f>0</f>
        <v>0</v>
      </c>
      <c r="L141" s="18">
        <f t="shared" si="40"/>
        <v>1</v>
      </c>
      <c r="M141" s="18">
        <f t="shared" si="34"/>
        <v>1.25</v>
      </c>
      <c r="N141" s="18">
        <f t="shared" si="35"/>
        <v>1.125</v>
      </c>
      <c r="O141" s="18">
        <f>I141*Входы!$C$40</f>
        <v>10</v>
      </c>
      <c r="P141" s="18">
        <f>J141*Входы!$C$80</f>
        <v>5</v>
      </c>
      <c r="Q141" s="18">
        <f>N141*Входы!$C$55/12</f>
        <v>2.25</v>
      </c>
      <c r="R141" s="8">
        <f>N141*Входы!$C$75</f>
        <v>28125</v>
      </c>
      <c r="S141" s="8">
        <f>J141*Входы!$C$77</f>
        <v>20000</v>
      </c>
      <c r="T141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1" s="8">
        <f>Входы!$C$94*Входы!$C$140*Входы!$C$95</f>
        <v>48750</v>
      </c>
      <c r="V141" s="8">
        <f>Входы!$C$141</f>
        <v>10000</v>
      </c>
      <c r="W141" s="8">
        <f>0</f>
        <v>0</v>
      </c>
      <c r="X141" s="8">
        <f>I141*Входы!$C$40*Входы!$C$81</f>
        <v>25000</v>
      </c>
      <c r="Y141" s="8">
        <f>J141*(Входы!$C$80*Входы!$C$81+Входы!$C$82)</f>
        <v>16250</v>
      </c>
      <c r="Z141" s="8">
        <f>J141*Входы!$C$96*Входы!$C$75*12</f>
        <v>7500</v>
      </c>
      <c r="AA141" s="8">
        <f>N141*Входы!$C$83</f>
        <v>5625</v>
      </c>
      <c r="AB141" s="8">
        <f t="shared" si="36"/>
        <v>257293.8</v>
      </c>
      <c r="AC141" s="8">
        <f t="shared" si="37"/>
        <v>-209168.8</v>
      </c>
      <c r="AD141" s="8">
        <f t="shared" si="41"/>
        <v>-1379968.9200000002</v>
      </c>
      <c r="AE141" s="18">
        <f>ROUNDUP((T141+U141+V141+W141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1" s="24" t="str">
        <f t="shared" si="38"/>
        <v>Нет</v>
      </c>
      <c r="AG141" s="8">
        <f t="shared" si="39"/>
        <v>-229168.8</v>
      </c>
    </row>
    <row r="142" spans="1:33" ht="25.5" x14ac:dyDescent="0.25">
      <c r="A142" s="2" t="s">
        <v>657</v>
      </c>
      <c r="B142" s="12">
        <v>10</v>
      </c>
      <c r="C142" s="2" t="s">
        <v>701</v>
      </c>
      <c r="D142" s="2" t="s">
        <v>738</v>
      </c>
      <c r="E142" s="18">
        <f>Входы!$C$97</f>
        <v>20</v>
      </c>
      <c r="F142" s="18">
        <f>E142*Входы!$C$98/Входы!$C$97</f>
        <v>6</v>
      </c>
      <c r="G142" s="18">
        <f>F142*Входы!$C$99/Входы!$C$98</f>
        <v>3</v>
      </c>
      <c r="H142" s="18">
        <f>Входы!$C$26/12/Входы!$C$40</f>
        <v>0.5</v>
      </c>
      <c r="I142" s="18">
        <f>MIN(G142,H142,(Входы!$C$29/12/Входы!$C$80)/Входы!$C$41,MAX(0,Входы!$C$32/Входы!$C$55-L142+K142)/Входы!$C$41,MAX(0,Входы!$C$21-L142)/Входы!$C$41,MAX(0,Входы!$C$56-SUM(J137:J141))/Входы!$C$41,Входы!$C$100/Входы!$C$41)</f>
        <v>0.5</v>
      </c>
      <c r="J142" s="18">
        <f>I142*Входы!$C$41</f>
        <v>0.25</v>
      </c>
      <c r="K142" s="18">
        <f>0</f>
        <v>0</v>
      </c>
      <c r="L142" s="18">
        <f t="shared" si="40"/>
        <v>1.25</v>
      </c>
      <c r="M142" s="18">
        <f t="shared" si="34"/>
        <v>1.5</v>
      </c>
      <c r="N142" s="18">
        <f t="shared" si="35"/>
        <v>1.375</v>
      </c>
      <c r="O142" s="18">
        <f>I142*Входы!$C$40</f>
        <v>10</v>
      </c>
      <c r="P142" s="18">
        <f>J142*Входы!$C$80</f>
        <v>5</v>
      </c>
      <c r="Q142" s="18">
        <f>N142*Входы!$C$55/12</f>
        <v>2.75</v>
      </c>
      <c r="R142" s="8">
        <f>N142*Входы!$C$75</f>
        <v>34375</v>
      </c>
      <c r="S142" s="8">
        <f>J142*Входы!$C$77</f>
        <v>20000</v>
      </c>
      <c r="T142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2" s="8">
        <f>Входы!$C$94*Входы!$C$140*Входы!$C$95</f>
        <v>48750</v>
      </c>
      <c r="V142" s="8">
        <f>Входы!$C$141</f>
        <v>10000</v>
      </c>
      <c r="W142" s="8">
        <f>0</f>
        <v>0</v>
      </c>
      <c r="X142" s="8">
        <f>I142*Входы!$C$40*Входы!$C$81</f>
        <v>25000</v>
      </c>
      <c r="Y142" s="8">
        <f>J142*(Входы!$C$80*Входы!$C$81+Входы!$C$82)</f>
        <v>16250</v>
      </c>
      <c r="Z142" s="8">
        <f>J142*Входы!$C$96*Входы!$C$75*12</f>
        <v>7500</v>
      </c>
      <c r="AA142" s="8">
        <f>N142*Входы!$C$83</f>
        <v>6875</v>
      </c>
      <c r="AB142" s="8">
        <f t="shared" si="36"/>
        <v>258543.8</v>
      </c>
      <c r="AC142" s="8">
        <f t="shared" si="37"/>
        <v>-204168.8</v>
      </c>
      <c r="AD142" s="8">
        <f t="shared" si="41"/>
        <v>-1584137.7200000002</v>
      </c>
      <c r="AE142" s="18">
        <f>ROUNDUP((T142+U142+V142+W142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2" s="24" t="str">
        <f t="shared" si="38"/>
        <v>Нет</v>
      </c>
      <c r="AG142" s="8">
        <f t="shared" si="39"/>
        <v>-224168.8</v>
      </c>
    </row>
    <row r="143" spans="1:33" ht="25.5" x14ac:dyDescent="0.25">
      <c r="A143" s="2" t="s">
        <v>657</v>
      </c>
      <c r="B143" s="12">
        <v>11</v>
      </c>
      <c r="C143" s="2" t="s">
        <v>701</v>
      </c>
      <c r="D143" s="2" t="s">
        <v>738</v>
      </c>
      <c r="E143" s="18">
        <f>Входы!$C$97</f>
        <v>20</v>
      </c>
      <c r="F143" s="18">
        <f>E143*Входы!$C$98/Входы!$C$97</f>
        <v>6</v>
      </c>
      <c r="G143" s="18">
        <f>F143*Входы!$C$99/Входы!$C$98</f>
        <v>3</v>
      </c>
      <c r="H143" s="18">
        <f>Входы!$C$26/12/Входы!$C$40</f>
        <v>0.5</v>
      </c>
      <c r="I143" s="18">
        <f>MIN(G143,H143,(Входы!$C$29/12/Входы!$C$80)/Входы!$C$41,MAX(0,Входы!$C$32/Входы!$C$55-L143+K143)/Входы!$C$41,MAX(0,Входы!$C$21-L143)/Входы!$C$41,MAX(0,Входы!$C$56-SUM(J137:J142))/Входы!$C$41,Входы!$C$100/Входы!$C$41)</f>
        <v>0.5</v>
      </c>
      <c r="J143" s="18">
        <f>I143*Входы!$C$41</f>
        <v>0.25</v>
      </c>
      <c r="K143" s="18">
        <f>0</f>
        <v>0</v>
      </c>
      <c r="L143" s="18">
        <f t="shared" si="40"/>
        <v>1.5</v>
      </c>
      <c r="M143" s="18">
        <f t="shared" si="34"/>
        <v>1.75</v>
      </c>
      <c r="N143" s="18">
        <f t="shared" si="35"/>
        <v>1.625</v>
      </c>
      <c r="O143" s="18">
        <f>I143*Входы!$C$40</f>
        <v>10</v>
      </c>
      <c r="P143" s="18">
        <f>J143*Входы!$C$80</f>
        <v>5</v>
      </c>
      <c r="Q143" s="18">
        <f>N143*Входы!$C$55/12</f>
        <v>3.25</v>
      </c>
      <c r="R143" s="8">
        <f>N143*Входы!$C$75</f>
        <v>40625</v>
      </c>
      <c r="S143" s="8">
        <f>J143*Входы!$C$77</f>
        <v>20000</v>
      </c>
      <c r="T143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3" s="8">
        <f>Входы!$C$94*Входы!$C$140*Входы!$C$95</f>
        <v>48750</v>
      </c>
      <c r="V143" s="8">
        <f>Входы!$C$141</f>
        <v>10000</v>
      </c>
      <c r="W143" s="8">
        <f>0</f>
        <v>0</v>
      </c>
      <c r="X143" s="8">
        <f>I143*Входы!$C$40*Входы!$C$81</f>
        <v>25000</v>
      </c>
      <c r="Y143" s="8">
        <f>J143*(Входы!$C$80*Входы!$C$81+Входы!$C$82)</f>
        <v>16250</v>
      </c>
      <c r="Z143" s="8">
        <f>J143*Входы!$C$96*Входы!$C$75*12</f>
        <v>7500</v>
      </c>
      <c r="AA143" s="8">
        <f>N143*Входы!$C$83</f>
        <v>8125</v>
      </c>
      <c r="AB143" s="8">
        <f t="shared" si="36"/>
        <v>259793.8</v>
      </c>
      <c r="AC143" s="8">
        <f t="shared" si="37"/>
        <v>-199168.8</v>
      </c>
      <c r="AD143" s="8">
        <f t="shared" si="41"/>
        <v>-1783306.5200000003</v>
      </c>
      <c r="AE143" s="18">
        <f>ROUNDUP((T143+U143+V143+W143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3" s="24" t="str">
        <f t="shared" si="38"/>
        <v>Нет</v>
      </c>
      <c r="AG143" s="8">
        <f t="shared" si="39"/>
        <v>-219168.8</v>
      </c>
    </row>
    <row r="144" spans="1:33" ht="25.5" x14ac:dyDescent="0.25">
      <c r="A144" s="2" t="s">
        <v>657</v>
      </c>
      <c r="B144" s="12">
        <v>12</v>
      </c>
      <c r="C144" s="2" t="s">
        <v>701</v>
      </c>
      <c r="D144" s="2" t="s">
        <v>738</v>
      </c>
      <c r="E144" s="18">
        <f>Входы!$C$97</f>
        <v>20</v>
      </c>
      <c r="F144" s="18">
        <f>E144*Входы!$C$98/Входы!$C$97</f>
        <v>6</v>
      </c>
      <c r="G144" s="18">
        <f>F144*Входы!$C$99/Входы!$C$98</f>
        <v>3</v>
      </c>
      <c r="H144" s="18">
        <f>Входы!$C$26/12/Входы!$C$40</f>
        <v>0.5</v>
      </c>
      <c r="I144" s="18">
        <f>MIN(G144,H144,(Входы!$C$29/12/Входы!$C$80)/Входы!$C$41,MAX(0,Входы!$C$32/Входы!$C$55-L144+K144)/Входы!$C$41,MAX(0,Входы!$C$21-L144)/Входы!$C$41,MAX(0,Входы!$C$56-SUM(J137:J143))/Входы!$C$41,Входы!$C$100/Входы!$C$41)</f>
        <v>0.5</v>
      </c>
      <c r="J144" s="18">
        <f>I144*Входы!$C$41</f>
        <v>0.25</v>
      </c>
      <c r="K144" s="18">
        <f>0</f>
        <v>0</v>
      </c>
      <c r="L144" s="18">
        <f t="shared" si="40"/>
        <v>1.75</v>
      </c>
      <c r="M144" s="18">
        <f t="shared" si="34"/>
        <v>2</v>
      </c>
      <c r="N144" s="18">
        <f t="shared" si="35"/>
        <v>1.875</v>
      </c>
      <c r="O144" s="18">
        <f>I144*Входы!$C$40</f>
        <v>10</v>
      </c>
      <c r="P144" s="18">
        <f>J144*Входы!$C$80</f>
        <v>5</v>
      </c>
      <c r="Q144" s="18">
        <f>N144*Входы!$C$55/12</f>
        <v>3.75</v>
      </c>
      <c r="R144" s="8">
        <f>N144*Входы!$C$75</f>
        <v>46875</v>
      </c>
      <c r="S144" s="8">
        <f>J144*Входы!$C$77</f>
        <v>20000</v>
      </c>
      <c r="T144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4" s="8">
        <f>Входы!$C$94*Входы!$C$140*Входы!$C$95</f>
        <v>48750</v>
      </c>
      <c r="V144" s="8">
        <f>Входы!$C$141</f>
        <v>10000</v>
      </c>
      <c r="W144" s="8">
        <f>0</f>
        <v>0</v>
      </c>
      <c r="X144" s="8">
        <f>I144*Входы!$C$40*Входы!$C$81</f>
        <v>25000</v>
      </c>
      <c r="Y144" s="8">
        <f>J144*(Входы!$C$80*Входы!$C$81+Входы!$C$82)</f>
        <v>16250</v>
      </c>
      <c r="Z144" s="8">
        <f>J144*Входы!$C$96*Входы!$C$75*12</f>
        <v>7500</v>
      </c>
      <c r="AA144" s="8">
        <f>N144*Входы!$C$83</f>
        <v>9375</v>
      </c>
      <c r="AB144" s="8">
        <f t="shared" si="36"/>
        <v>261043.8</v>
      </c>
      <c r="AC144" s="8">
        <f t="shared" si="37"/>
        <v>-194168.8</v>
      </c>
      <c r="AD144" s="8">
        <f t="shared" si="41"/>
        <v>-1977475.3200000003</v>
      </c>
      <c r="AE144" s="18">
        <f>ROUNDUP((T144+U144+V144+W144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4" s="24" t="str">
        <f t="shared" si="38"/>
        <v>Нет</v>
      </c>
      <c r="AG144" s="8">
        <f t="shared" si="39"/>
        <v>-214168.8</v>
      </c>
    </row>
    <row r="145" spans="1:33" ht="25.5" x14ac:dyDescent="0.25">
      <c r="A145" s="2" t="s">
        <v>657</v>
      </c>
      <c r="B145" s="12">
        <v>13</v>
      </c>
      <c r="C145" s="2" t="s">
        <v>701</v>
      </c>
      <c r="D145" s="2" t="s">
        <v>738</v>
      </c>
      <c r="E145" s="18">
        <f>Входы!$C$97</f>
        <v>20</v>
      </c>
      <c r="F145" s="18">
        <f>E145*Входы!$C$98/Входы!$C$97</f>
        <v>6</v>
      </c>
      <c r="G145" s="18">
        <f>F145*Входы!$C$99/Входы!$C$98</f>
        <v>3</v>
      </c>
      <c r="H145" s="18">
        <f>Входы!$C$26/12/Входы!$C$40</f>
        <v>0.5</v>
      </c>
      <c r="I145" s="18">
        <f>MIN(G145,H145,(Входы!$C$29/12/Входы!$C$80)/Входы!$C$41,MAX(0,Входы!$C$32/Входы!$C$55-L145+K145)/Входы!$C$41,MAX(0,Входы!$C$21-L145)/Входы!$C$41,MAX(0,Входы!$C$56-SUM(J137:J144))/Входы!$C$41,Входы!$C$100/Входы!$C$41)</f>
        <v>0.5</v>
      </c>
      <c r="J145" s="18">
        <f>I145*Входы!$C$41</f>
        <v>0.25</v>
      </c>
      <c r="K145" s="18">
        <f>0</f>
        <v>0</v>
      </c>
      <c r="L145" s="18">
        <f t="shared" si="40"/>
        <v>2</v>
      </c>
      <c r="M145" s="18">
        <f t="shared" si="34"/>
        <v>2.25</v>
      </c>
      <c r="N145" s="18">
        <f t="shared" si="35"/>
        <v>2.125</v>
      </c>
      <c r="O145" s="18">
        <f>I145*Входы!$C$40</f>
        <v>10</v>
      </c>
      <c r="P145" s="18">
        <f>J145*Входы!$C$80</f>
        <v>5</v>
      </c>
      <c r="Q145" s="18">
        <f>N145*Входы!$C$55/12</f>
        <v>4.25</v>
      </c>
      <c r="R145" s="8">
        <f>N145*Входы!$C$75</f>
        <v>53125</v>
      </c>
      <c r="S145" s="8">
        <f>J145*Входы!$C$77</f>
        <v>20000</v>
      </c>
      <c r="T145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5" s="8">
        <f>Входы!$C$94*Входы!$C$140*Входы!$C$95</f>
        <v>48750</v>
      </c>
      <c r="V145" s="8">
        <f>Входы!$C$141</f>
        <v>10000</v>
      </c>
      <c r="W145" s="8">
        <f>0</f>
        <v>0</v>
      </c>
      <c r="X145" s="8">
        <f>I145*Входы!$C$40*Входы!$C$81</f>
        <v>25000</v>
      </c>
      <c r="Y145" s="8">
        <f>J145*(Входы!$C$80*Входы!$C$81+Входы!$C$82)</f>
        <v>16250</v>
      </c>
      <c r="Z145" s="8">
        <f>J145*Входы!$C$96*Входы!$C$75*12</f>
        <v>7500</v>
      </c>
      <c r="AA145" s="8">
        <f>N145*Входы!$C$83</f>
        <v>10625</v>
      </c>
      <c r="AB145" s="8">
        <f t="shared" si="36"/>
        <v>262293.8</v>
      </c>
      <c r="AC145" s="8">
        <f t="shared" si="37"/>
        <v>-189168.8</v>
      </c>
      <c r="AD145" s="8">
        <f t="shared" si="41"/>
        <v>-2166644.12</v>
      </c>
      <c r="AE145" s="18">
        <f>ROUNDUP((T145+U145+V145+W145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5" s="24" t="str">
        <f t="shared" si="38"/>
        <v>Нет</v>
      </c>
      <c r="AG145" s="8">
        <f t="shared" si="39"/>
        <v>-209168.8</v>
      </c>
    </row>
    <row r="146" spans="1:33" ht="25.5" x14ac:dyDescent="0.25">
      <c r="A146" s="2" t="s">
        <v>657</v>
      </c>
      <c r="B146" s="12">
        <v>14</v>
      </c>
      <c r="C146" s="2" t="s">
        <v>701</v>
      </c>
      <c r="D146" s="2" t="s">
        <v>738</v>
      </c>
      <c r="E146" s="18">
        <f>Входы!$C$97</f>
        <v>20</v>
      </c>
      <c r="F146" s="18">
        <f>E146*Входы!$C$98/Входы!$C$97</f>
        <v>6</v>
      </c>
      <c r="G146" s="18">
        <f>F146*Входы!$C$99/Входы!$C$98</f>
        <v>3</v>
      </c>
      <c r="H146" s="18">
        <f>Входы!$C$26/12/Входы!$C$40</f>
        <v>0.5</v>
      </c>
      <c r="I146" s="18">
        <f>MIN(G146,H146,(Входы!$C$29/12/Входы!$C$80)/Входы!$C$41,MAX(0,Входы!$C$32/Входы!$C$55-L146+K146)/Входы!$C$41,MAX(0,Входы!$C$21-L146)/Входы!$C$41,MAX(0,Входы!$C$56-SUM(J137:J145))/Входы!$C$41,Входы!$C$100/Входы!$C$41)</f>
        <v>0.5</v>
      </c>
      <c r="J146" s="18">
        <f>I146*Входы!$C$41</f>
        <v>0.25</v>
      </c>
      <c r="K146" s="18">
        <f>0</f>
        <v>0</v>
      </c>
      <c r="L146" s="18">
        <f t="shared" si="40"/>
        <v>2.25</v>
      </c>
      <c r="M146" s="18">
        <f t="shared" si="34"/>
        <v>2.5</v>
      </c>
      <c r="N146" s="18">
        <f t="shared" si="35"/>
        <v>2.375</v>
      </c>
      <c r="O146" s="18">
        <f>I146*Входы!$C$40</f>
        <v>10</v>
      </c>
      <c r="P146" s="18">
        <f>J146*Входы!$C$80</f>
        <v>5</v>
      </c>
      <c r="Q146" s="18">
        <f>N146*Входы!$C$55/12</f>
        <v>4.75</v>
      </c>
      <c r="R146" s="8">
        <f>N146*Входы!$C$75</f>
        <v>59375</v>
      </c>
      <c r="S146" s="8">
        <f>J146*Входы!$C$77</f>
        <v>20000</v>
      </c>
      <c r="T146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6" s="8">
        <f>Входы!$C$94*Входы!$C$140*Входы!$C$95</f>
        <v>48750</v>
      </c>
      <c r="V146" s="8">
        <f>Входы!$C$141</f>
        <v>10000</v>
      </c>
      <c r="W146" s="8">
        <f>0</f>
        <v>0</v>
      </c>
      <c r="X146" s="8">
        <f>I146*Входы!$C$40*Входы!$C$81</f>
        <v>25000</v>
      </c>
      <c r="Y146" s="8">
        <f>J146*(Входы!$C$80*Входы!$C$81+Входы!$C$82)</f>
        <v>16250</v>
      </c>
      <c r="Z146" s="8">
        <f>J146*Входы!$C$96*Входы!$C$75*12</f>
        <v>7500</v>
      </c>
      <c r="AA146" s="8">
        <f>N146*Входы!$C$83</f>
        <v>11875</v>
      </c>
      <c r="AB146" s="8">
        <f t="shared" si="36"/>
        <v>263543.8</v>
      </c>
      <c r="AC146" s="8">
        <f t="shared" si="37"/>
        <v>-184168.8</v>
      </c>
      <c r="AD146" s="8">
        <f t="shared" si="41"/>
        <v>-2350812.92</v>
      </c>
      <c r="AE146" s="18">
        <f>ROUNDUP((T146+U146+V146+W146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6" s="24" t="str">
        <f t="shared" si="38"/>
        <v>Нет</v>
      </c>
      <c r="AG146" s="8">
        <f t="shared" si="39"/>
        <v>-204168.8</v>
      </c>
    </row>
    <row r="147" spans="1:33" ht="25.5" x14ac:dyDescent="0.25">
      <c r="A147" s="2" t="s">
        <v>657</v>
      </c>
      <c r="B147" s="12">
        <v>15</v>
      </c>
      <c r="C147" s="2" t="s">
        <v>701</v>
      </c>
      <c r="D147" s="2" t="s">
        <v>738</v>
      </c>
      <c r="E147" s="18">
        <f>Входы!$C$97</f>
        <v>20</v>
      </c>
      <c r="F147" s="18">
        <f>E147*Входы!$C$98/Входы!$C$97</f>
        <v>6</v>
      </c>
      <c r="G147" s="18">
        <f>F147*Входы!$C$99/Входы!$C$98</f>
        <v>3</v>
      </c>
      <c r="H147" s="18">
        <f>Входы!$C$26/12/Входы!$C$40</f>
        <v>0.5</v>
      </c>
      <c r="I147" s="18">
        <f>MIN(G147,H147,(Входы!$C$29/12/Входы!$C$80)/Входы!$C$41,MAX(0,Входы!$C$32/Входы!$C$55-L147+K147)/Входы!$C$41,MAX(0,Входы!$C$21-L147)/Входы!$C$41,MAX(0,Входы!$C$56-SUM(J137:J146))/Входы!$C$41,Входы!$C$100/Входы!$C$41)</f>
        <v>0.5</v>
      </c>
      <c r="J147" s="18">
        <f>I147*Входы!$C$41</f>
        <v>0.25</v>
      </c>
      <c r="K147" s="18">
        <f>0</f>
        <v>0</v>
      </c>
      <c r="L147" s="18">
        <f t="shared" si="40"/>
        <v>2.5</v>
      </c>
      <c r="M147" s="18">
        <f t="shared" si="34"/>
        <v>2.75</v>
      </c>
      <c r="N147" s="18">
        <f t="shared" si="35"/>
        <v>2.625</v>
      </c>
      <c r="O147" s="18">
        <f>I147*Входы!$C$40</f>
        <v>10</v>
      </c>
      <c r="P147" s="18">
        <f>J147*Входы!$C$80</f>
        <v>5</v>
      </c>
      <c r="Q147" s="18">
        <f>N147*Входы!$C$55/12</f>
        <v>5.25</v>
      </c>
      <c r="R147" s="8">
        <f>N147*Входы!$C$75</f>
        <v>65625</v>
      </c>
      <c r="S147" s="8">
        <f>J147*Входы!$C$77</f>
        <v>20000</v>
      </c>
      <c r="T147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7" s="8">
        <f>Входы!$C$94*Входы!$C$140*Входы!$C$95</f>
        <v>48750</v>
      </c>
      <c r="V147" s="8">
        <f>Входы!$C$141</f>
        <v>10000</v>
      </c>
      <c r="W147" s="8">
        <f>0</f>
        <v>0</v>
      </c>
      <c r="X147" s="8">
        <f>I147*Входы!$C$40*Входы!$C$81</f>
        <v>25000</v>
      </c>
      <c r="Y147" s="8">
        <f>J147*(Входы!$C$80*Входы!$C$81+Входы!$C$82)</f>
        <v>16250</v>
      </c>
      <c r="Z147" s="8">
        <f>J147*Входы!$C$96*Входы!$C$75*12</f>
        <v>7500</v>
      </c>
      <c r="AA147" s="8">
        <f>N147*Входы!$C$83</f>
        <v>13125</v>
      </c>
      <c r="AB147" s="8">
        <f t="shared" si="36"/>
        <v>264793.8</v>
      </c>
      <c r="AC147" s="8">
        <f t="shared" si="37"/>
        <v>-179168.8</v>
      </c>
      <c r="AD147" s="8">
        <f t="shared" si="41"/>
        <v>-2529981.7199999997</v>
      </c>
      <c r="AE147" s="18">
        <f>ROUNDUP((T147+U147+V147+W147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7" s="24" t="str">
        <f t="shared" si="38"/>
        <v>Нет</v>
      </c>
      <c r="AG147" s="8">
        <f t="shared" si="39"/>
        <v>-199168.8</v>
      </c>
    </row>
    <row r="148" spans="1:33" ht="25.5" x14ac:dyDescent="0.25">
      <c r="A148" s="2" t="s">
        <v>657</v>
      </c>
      <c r="B148" s="12">
        <v>16</v>
      </c>
      <c r="C148" s="2" t="s">
        <v>701</v>
      </c>
      <c r="D148" s="2" t="s">
        <v>738</v>
      </c>
      <c r="E148" s="18">
        <f>Входы!$C$97</f>
        <v>20</v>
      </c>
      <c r="F148" s="18">
        <f>E148*Входы!$C$98/Входы!$C$97</f>
        <v>6</v>
      </c>
      <c r="G148" s="18">
        <f>F148*Входы!$C$99/Входы!$C$98</f>
        <v>3</v>
      </c>
      <c r="H148" s="18">
        <f>Входы!$C$26/12/Входы!$C$40</f>
        <v>0.5</v>
      </c>
      <c r="I148" s="18">
        <f>MIN(G148,H148,(Входы!$C$29/12/Входы!$C$80)/Входы!$C$41,MAX(0,Входы!$C$32/Входы!$C$55-L148+K148)/Входы!$C$41,MAX(0,Входы!$C$21-L148)/Входы!$C$41,MAX(0,Входы!$C$56-SUM(J137:J147))/Входы!$C$41,Входы!$C$100/Входы!$C$41)</f>
        <v>0.5</v>
      </c>
      <c r="J148" s="18">
        <f>I148*Входы!$C$41</f>
        <v>0.25</v>
      </c>
      <c r="K148" s="18">
        <f>0</f>
        <v>0</v>
      </c>
      <c r="L148" s="18">
        <f t="shared" si="40"/>
        <v>2.75</v>
      </c>
      <c r="M148" s="18">
        <f t="shared" si="34"/>
        <v>3</v>
      </c>
      <c r="N148" s="18">
        <f t="shared" si="35"/>
        <v>2.875</v>
      </c>
      <c r="O148" s="18">
        <f>I148*Входы!$C$40</f>
        <v>10</v>
      </c>
      <c r="P148" s="18">
        <f>J148*Входы!$C$80</f>
        <v>5</v>
      </c>
      <c r="Q148" s="18">
        <f>N148*Входы!$C$55/12</f>
        <v>5.75</v>
      </c>
      <c r="R148" s="8">
        <f>N148*Входы!$C$75</f>
        <v>71875</v>
      </c>
      <c r="S148" s="8">
        <f>J148*Входы!$C$77</f>
        <v>20000</v>
      </c>
      <c r="T148" s="8">
        <f>Входы!$C$130*Входы!$C$131*Входы!$C$93*Входы!$C$95+Входы!$C$86*Входы!$C$132*(Входы!$C$133*Входы!$C$134+Входы!$C$135*Входы!$C$89)+Входы!$C$86*Входы!$C$136*Входы!$C$90+Входы!$C$137+Входы!$C$138</f>
        <v>144168.79999999999</v>
      </c>
      <c r="U148" s="8">
        <f>Входы!$C$94*Входы!$C$140*Входы!$C$95</f>
        <v>48750</v>
      </c>
      <c r="V148" s="8">
        <f>Входы!$C$141</f>
        <v>10000</v>
      </c>
      <c r="W148" s="8">
        <f>0</f>
        <v>0</v>
      </c>
      <c r="X148" s="8">
        <f>I148*Входы!$C$40*Входы!$C$81</f>
        <v>25000</v>
      </c>
      <c r="Y148" s="8">
        <f>J148*(Входы!$C$80*Входы!$C$81+Входы!$C$82)</f>
        <v>16250</v>
      </c>
      <c r="Z148" s="8">
        <f>J148*Входы!$C$96*Входы!$C$75*12</f>
        <v>7500</v>
      </c>
      <c r="AA148" s="8">
        <f>N148*Входы!$C$83</f>
        <v>14375</v>
      </c>
      <c r="AB148" s="8">
        <f t="shared" si="36"/>
        <v>266043.8</v>
      </c>
      <c r="AC148" s="8">
        <f t="shared" si="37"/>
        <v>-174168.8</v>
      </c>
      <c r="AD148" s="8">
        <f t="shared" si="41"/>
        <v>-2704150.5199999996</v>
      </c>
      <c r="AE148" s="18">
        <f>ROUNDUP((T148+U148+V148+W148+(MIN(Входы!$C$56,Входы!$C$26/Входы!$C$40*Входы!$C$41,Входы!$C$29/Входы!$C$80,Входы!$C$100*12))/12*(Входы!$C$40*Входы!$C$81/Входы!$C$41+Входы!$C$96*Входы!$C$75*12))/(Входы!$C$75-Входы!$C$83),0)</f>
        <v>12</v>
      </c>
      <c r="AF148" s="24" t="str">
        <f t="shared" si="38"/>
        <v>Нет</v>
      </c>
      <c r="AG148" s="8">
        <f t="shared" si="39"/>
        <v>-194168.8</v>
      </c>
    </row>
    <row r="149" spans="1:33" ht="25.5" x14ac:dyDescent="0.25">
      <c r="A149" s="2" t="s">
        <v>657</v>
      </c>
      <c r="B149" s="12">
        <v>17</v>
      </c>
      <c r="C149" s="2" t="s">
        <v>702</v>
      </c>
      <c r="D149" s="2" t="s">
        <v>738</v>
      </c>
      <c r="E149" s="18">
        <f>Входы!$C$103</f>
        <v>40</v>
      </c>
      <c r="F149" s="18">
        <f>E149*Входы!$C$104/Входы!$C$103</f>
        <v>12</v>
      </c>
      <c r="G149" s="18">
        <f>F149*Входы!$C$105/Входы!$C$104</f>
        <v>6</v>
      </c>
      <c r="H149" s="18">
        <f>Входы!$C$27/12/Входы!$C$40</f>
        <v>0.5</v>
      </c>
      <c r="I149" s="18">
        <f>MIN(G149,H149,(Входы!$C$30/12/Входы!$C$80)/Входы!$C$41,MAX(0,Входы!$C$33/Входы!$C$55-L149+K149)/Входы!$C$41,MAX(0,Входы!$C$21-L149)/Входы!$C$41,MAX(0,Входы!$C$57-0)/Входы!$C$41,Входы!$C$106/Входы!$C$41)</f>
        <v>0.5</v>
      </c>
      <c r="J149" s="18">
        <f>I149*Входы!$C$41</f>
        <v>0.25</v>
      </c>
      <c r="K149" s="18">
        <f>0</f>
        <v>0</v>
      </c>
      <c r="L149" s="18">
        <f t="shared" si="40"/>
        <v>3</v>
      </c>
      <c r="M149" s="18">
        <f t="shared" si="34"/>
        <v>3.25</v>
      </c>
      <c r="N149" s="18">
        <f t="shared" si="35"/>
        <v>3.125</v>
      </c>
      <c r="O149" s="18">
        <f>I149*Входы!$C$40</f>
        <v>10</v>
      </c>
      <c r="P149" s="18">
        <f>J149*Входы!$C$80</f>
        <v>5</v>
      </c>
      <c r="Q149" s="18">
        <f>N149*Входы!$C$55/12</f>
        <v>6.25</v>
      </c>
      <c r="R149" s="8">
        <f>N149*Входы!$C$75</f>
        <v>78125</v>
      </c>
      <c r="S149" s="8">
        <f>J149*Входы!$C$77</f>
        <v>20000</v>
      </c>
      <c r="T14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49" s="8">
        <f>Входы!$C$94*Входы!$C$153*Входы!$C$95</f>
        <v>48750</v>
      </c>
      <c r="V149" s="8">
        <f>Входы!$C$154</f>
        <v>10000</v>
      </c>
      <c r="W149" s="8">
        <f>0</f>
        <v>0</v>
      </c>
      <c r="X149" s="8">
        <f>I149*Входы!$C$40*Входы!$C$81</f>
        <v>25000</v>
      </c>
      <c r="Y149" s="8">
        <f>J149*(Входы!$C$80*Входы!$C$81+Входы!$C$82)</f>
        <v>16250</v>
      </c>
      <c r="Z149" s="8">
        <f>J149*Входы!$C$96*Входы!$C$75*12</f>
        <v>7500</v>
      </c>
      <c r="AA149" s="8">
        <f>N149*Входы!$C$83</f>
        <v>15625</v>
      </c>
      <c r="AB149" s="8">
        <f t="shared" si="36"/>
        <v>411495.85</v>
      </c>
      <c r="AC149" s="8">
        <f t="shared" si="37"/>
        <v>-313370.84999999998</v>
      </c>
      <c r="AD149" s="8">
        <f t="shared" si="41"/>
        <v>-3017521.3699999996</v>
      </c>
      <c r="AE149" s="18">
        <f>ROUNDUP((T149+U149+V149+W149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49" s="24" t="str">
        <f t="shared" si="38"/>
        <v>Нет</v>
      </c>
      <c r="AG149" s="8">
        <f t="shared" si="39"/>
        <v>-333370.84999999998</v>
      </c>
    </row>
    <row r="150" spans="1:33" ht="25.5" x14ac:dyDescent="0.25">
      <c r="A150" s="2" t="s">
        <v>657</v>
      </c>
      <c r="B150" s="12">
        <v>18</v>
      </c>
      <c r="C150" s="2" t="s">
        <v>702</v>
      </c>
      <c r="D150" s="2" t="s">
        <v>738</v>
      </c>
      <c r="E150" s="18">
        <f>Входы!$C$103</f>
        <v>40</v>
      </c>
      <c r="F150" s="18">
        <f>E150*Входы!$C$104/Входы!$C$103</f>
        <v>12</v>
      </c>
      <c r="G150" s="18">
        <f>F150*Входы!$C$105/Входы!$C$104</f>
        <v>6</v>
      </c>
      <c r="H150" s="18">
        <f>Входы!$C$27/12/Входы!$C$40</f>
        <v>0.5</v>
      </c>
      <c r="I150" s="18">
        <f>MIN(G150,H150,(Входы!$C$30/12/Входы!$C$80)/Входы!$C$41,MAX(0,Входы!$C$33/Входы!$C$55-L150+K150)/Входы!$C$41,MAX(0,Входы!$C$21-L150)/Входы!$C$41,MAX(0,Входы!$C$57-SUM(J149:J149))/Входы!$C$41,Входы!$C$106/Входы!$C$41)</f>
        <v>0.5</v>
      </c>
      <c r="J150" s="18">
        <f>I150*Входы!$C$41</f>
        <v>0.25</v>
      </c>
      <c r="K150" s="18">
        <f>0</f>
        <v>0</v>
      </c>
      <c r="L150" s="18">
        <f t="shared" si="40"/>
        <v>3.25</v>
      </c>
      <c r="M150" s="18">
        <f t="shared" si="34"/>
        <v>3.5</v>
      </c>
      <c r="N150" s="18">
        <f t="shared" si="35"/>
        <v>3.375</v>
      </c>
      <c r="O150" s="18">
        <f>I150*Входы!$C$40</f>
        <v>10</v>
      </c>
      <c r="P150" s="18">
        <f>J150*Входы!$C$80</f>
        <v>5</v>
      </c>
      <c r="Q150" s="18">
        <f>N150*Входы!$C$55/12</f>
        <v>6.75</v>
      </c>
      <c r="R150" s="8">
        <f>N150*Входы!$C$75</f>
        <v>84375</v>
      </c>
      <c r="S150" s="8">
        <f>J150*Входы!$C$77</f>
        <v>20000</v>
      </c>
      <c r="T15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0" s="8">
        <f>Входы!$C$94*Входы!$C$153*Входы!$C$95</f>
        <v>48750</v>
      </c>
      <c r="V150" s="8">
        <f>Входы!$C$154</f>
        <v>10000</v>
      </c>
      <c r="W150" s="8">
        <f>0</f>
        <v>0</v>
      </c>
      <c r="X150" s="8">
        <f>I150*Входы!$C$40*Входы!$C$81</f>
        <v>25000</v>
      </c>
      <c r="Y150" s="8">
        <f>J150*(Входы!$C$80*Входы!$C$81+Входы!$C$82)</f>
        <v>16250</v>
      </c>
      <c r="Z150" s="8">
        <f>J150*Входы!$C$96*Входы!$C$75*12</f>
        <v>7500</v>
      </c>
      <c r="AA150" s="8">
        <f>N150*Входы!$C$83</f>
        <v>16875</v>
      </c>
      <c r="AB150" s="8">
        <f t="shared" si="36"/>
        <v>412745.85</v>
      </c>
      <c r="AC150" s="8">
        <f t="shared" si="37"/>
        <v>-308370.84999999998</v>
      </c>
      <c r="AD150" s="8">
        <f t="shared" si="41"/>
        <v>-3325892.2199999997</v>
      </c>
      <c r="AE150" s="18">
        <f>ROUNDUP((T150+U150+V150+W150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0" s="24" t="str">
        <f t="shared" si="38"/>
        <v>Нет</v>
      </c>
      <c r="AG150" s="8">
        <f t="shared" si="39"/>
        <v>-328370.84999999998</v>
      </c>
    </row>
    <row r="151" spans="1:33" ht="25.5" x14ac:dyDescent="0.25">
      <c r="A151" s="2" t="s">
        <v>657</v>
      </c>
      <c r="B151" s="12">
        <v>19</v>
      </c>
      <c r="C151" s="2" t="s">
        <v>702</v>
      </c>
      <c r="D151" s="2" t="s">
        <v>738</v>
      </c>
      <c r="E151" s="18">
        <f>Входы!$C$103</f>
        <v>40</v>
      </c>
      <c r="F151" s="18">
        <f>E151*Входы!$C$104/Входы!$C$103</f>
        <v>12</v>
      </c>
      <c r="G151" s="18">
        <f>F151*Входы!$C$105/Входы!$C$104</f>
        <v>6</v>
      </c>
      <c r="H151" s="18">
        <f>Входы!$C$27/12/Входы!$C$40</f>
        <v>0.5</v>
      </c>
      <c r="I151" s="18">
        <f>MIN(G151,H151,(Входы!$C$30/12/Входы!$C$80)/Входы!$C$41,MAX(0,Входы!$C$33/Входы!$C$55-L151+K151)/Входы!$C$41,MAX(0,Входы!$C$21-L151)/Входы!$C$41,MAX(0,Входы!$C$57-SUM(J149:J150))/Входы!$C$41,Входы!$C$106/Входы!$C$41)</f>
        <v>0.5</v>
      </c>
      <c r="J151" s="18">
        <f>I151*Входы!$C$41</f>
        <v>0.25</v>
      </c>
      <c r="K151" s="18">
        <f>0</f>
        <v>0</v>
      </c>
      <c r="L151" s="18">
        <f t="shared" si="40"/>
        <v>3.5</v>
      </c>
      <c r="M151" s="18">
        <f t="shared" si="34"/>
        <v>3.75</v>
      </c>
      <c r="N151" s="18">
        <f t="shared" si="35"/>
        <v>3.625</v>
      </c>
      <c r="O151" s="18">
        <f>I151*Входы!$C$40</f>
        <v>10</v>
      </c>
      <c r="P151" s="18">
        <f>J151*Входы!$C$80</f>
        <v>5</v>
      </c>
      <c r="Q151" s="18">
        <f>N151*Входы!$C$55/12</f>
        <v>7.25</v>
      </c>
      <c r="R151" s="8">
        <f>N151*Входы!$C$75</f>
        <v>90625</v>
      </c>
      <c r="S151" s="8">
        <f>J151*Входы!$C$77</f>
        <v>20000</v>
      </c>
      <c r="T15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1" s="8">
        <f>Входы!$C$94*Входы!$C$153*Входы!$C$95</f>
        <v>48750</v>
      </c>
      <c r="V151" s="8">
        <f>Входы!$C$154</f>
        <v>10000</v>
      </c>
      <c r="W151" s="8">
        <f>0</f>
        <v>0</v>
      </c>
      <c r="X151" s="8">
        <f>I151*Входы!$C$40*Входы!$C$81</f>
        <v>25000</v>
      </c>
      <c r="Y151" s="8">
        <f>J151*(Входы!$C$80*Входы!$C$81+Входы!$C$82)</f>
        <v>16250</v>
      </c>
      <c r="Z151" s="8">
        <f>J151*Входы!$C$96*Входы!$C$75*12</f>
        <v>7500</v>
      </c>
      <c r="AA151" s="8">
        <f>N151*Входы!$C$83</f>
        <v>18125</v>
      </c>
      <c r="AB151" s="8">
        <f t="shared" si="36"/>
        <v>413995.85</v>
      </c>
      <c r="AC151" s="8">
        <f t="shared" si="37"/>
        <v>-303370.84999999998</v>
      </c>
      <c r="AD151" s="8">
        <f t="shared" si="41"/>
        <v>-3629263.07</v>
      </c>
      <c r="AE151" s="18">
        <f>ROUNDUP((T151+U151+V151+W151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1" s="24" t="str">
        <f t="shared" si="38"/>
        <v>Нет</v>
      </c>
      <c r="AG151" s="8">
        <f t="shared" si="39"/>
        <v>-323370.84999999998</v>
      </c>
    </row>
    <row r="152" spans="1:33" ht="25.5" x14ac:dyDescent="0.25">
      <c r="A152" s="2" t="s">
        <v>657</v>
      </c>
      <c r="B152" s="12">
        <v>20</v>
      </c>
      <c r="C152" s="2" t="s">
        <v>702</v>
      </c>
      <c r="D152" s="2" t="s">
        <v>738</v>
      </c>
      <c r="E152" s="18">
        <f>Входы!$C$103</f>
        <v>40</v>
      </c>
      <c r="F152" s="18">
        <f>E152*Входы!$C$104/Входы!$C$103</f>
        <v>12</v>
      </c>
      <c r="G152" s="18">
        <f>F152*Входы!$C$105/Входы!$C$104</f>
        <v>6</v>
      </c>
      <c r="H152" s="18">
        <f>Входы!$C$27/12/Входы!$C$40</f>
        <v>0.5</v>
      </c>
      <c r="I152" s="18">
        <f>MIN(G152,H152,(Входы!$C$30/12/Входы!$C$80)/Входы!$C$41,MAX(0,Входы!$C$33/Входы!$C$55-L152+K152)/Входы!$C$41,MAX(0,Входы!$C$21-L152)/Входы!$C$41,MAX(0,Входы!$C$57-SUM(J149:J151))/Входы!$C$41,Входы!$C$106/Входы!$C$41)</f>
        <v>0.5</v>
      </c>
      <c r="J152" s="18">
        <f>I152*Входы!$C$41</f>
        <v>0.25</v>
      </c>
      <c r="K152" s="18">
        <f>0</f>
        <v>0</v>
      </c>
      <c r="L152" s="18">
        <f t="shared" si="40"/>
        <v>3.75</v>
      </c>
      <c r="M152" s="18">
        <f t="shared" si="34"/>
        <v>4</v>
      </c>
      <c r="N152" s="18">
        <f t="shared" si="35"/>
        <v>3.875</v>
      </c>
      <c r="O152" s="18">
        <f>I152*Входы!$C$40</f>
        <v>10</v>
      </c>
      <c r="P152" s="18">
        <f>J152*Входы!$C$80</f>
        <v>5</v>
      </c>
      <c r="Q152" s="18">
        <f>N152*Входы!$C$55/12</f>
        <v>7.75</v>
      </c>
      <c r="R152" s="8">
        <f>N152*Входы!$C$75</f>
        <v>96875</v>
      </c>
      <c r="S152" s="8">
        <f>J152*Входы!$C$77</f>
        <v>20000</v>
      </c>
      <c r="T15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2" s="8">
        <f>Входы!$C$94*Входы!$C$153*Входы!$C$95</f>
        <v>48750</v>
      </c>
      <c r="V152" s="8">
        <f>Входы!$C$154</f>
        <v>10000</v>
      </c>
      <c r="W152" s="8">
        <f>0</f>
        <v>0</v>
      </c>
      <c r="X152" s="8">
        <f>I152*Входы!$C$40*Входы!$C$81</f>
        <v>25000</v>
      </c>
      <c r="Y152" s="8">
        <f>J152*(Входы!$C$80*Входы!$C$81+Входы!$C$82)</f>
        <v>16250</v>
      </c>
      <c r="Z152" s="8">
        <f>J152*Входы!$C$96*Входы!$C$75*12</f>
        <v>7500</v>
      </c>
      <c r="AA152" s="8">
        <f>N152*Входы!$C$83</f>
        <v>19375</v>
      </c>
      <c r="AB152" s="8">
        <f t="shared" si="36"/>
        <v>415245.85</v>
      </c>
      <c r="AC152" s="8">
        <f t="shared" si="37"/>
        <v>-298370.84999999998</v>
      </c>
      <c r="AD152" s="8">
        <f t="shared" si="41"/>
        <v>-3927633.9199999999</v>
      </c>
      <c r="AE152" s="18">
        <f>ROUNDUP((T152+U152+V152+W152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2" s="24" t="str">
        <f t="shared" si="38"/>
        <v>Нет</v>
      </c>
      <c r="AG152" s="8">
        <f t="shared" si="39"/>
        <v>-318370.84999999998</v>
      </c>
    </row>
    <row r="153" spans="1:33" ht="25.5" x14ac:dyDescent="0.25">
      <c r="A153" s="2" t="s">
        <v>657</v>
      </c>
      <c r="B153" s="12">
        <v>21</v>
      </c>
      <c r="C153" s="2" t="s">
        <v>702</v>
      </c>
      <c r="D153" s="2" t="s">
        <v>738</v>
      </c>
      <c r="E153" s="18">
        <f>Входы!$C$103</f>
        <v>40</v>
      </c>
      <c r="F153" s="18">
        <f>E153*Входы!$C$104/Входы!$C$103</f>
        <v>12</v>
      </c>
      <c r="G153" s="18">
        <f>F153*Входы!$C$105/Входы!$C$104</f>
        <v>6</v>
      </c>
      <c r="H153" s="18">
        <f>Входы!$C$27/12/Входы!$C$40</f>
        <v>0.5</v>
      </c>
      <c r="I153" s="18">
        <f>MIN(G153,H153,(Входы!$C$30/12/Входы!$C$80)/Входы!$C$41,MAX(0,Входы!$C$33/Входы!$C$55-L153+K153)/Входы!$C$41,MAX(0,Входы!$C$21-L153)/Входы!$C$41,MAX(0,Входы!$C$57-SUM(J149:J152))/Входы!$C$41,Входы!$C$106/Входы!$C$41)</f>
        <v>0.5</v>
      </c>
      <c r="J153" s="18">
        <f>I153*Входы!$C$41</f>
        <v>0.25</v>
      </c>
      <c r="K153" s="18">
        <f>0</f>
        <v>0</v>
      </c>
      <c r="L153" s="18">
        <f t="shared" si="40"/>
        <v>4</v>
      </c>
      <c r="M153" s="18">
        <f t="shared" si="34"/>
        <v>4.25</v>
      </c>
      <c r="N153" s="18">
        <f t="shared" si="35"/>
        <v>4.125</v>
      </c>
      <c r="O153" s="18">
        <f>I153*Входы!$C$40</f>
        <v>10</v>
      </c>
      <c r="P153" s="18">
        <f>J153*Входы!$C$80</f>
        <v>5</v>
      </c>
      <c r="Q153" s="18">
        <f>N153*Входы!$C$55/12</f>
        <v>8.25</v>
      </c>
      <c r="R153" s="8">
        <f>N153*Входы!$C$75</f>
        <v>103125</v>
      </c>
      <c r="S153" s="8">
        <f>J153*Входы!$C$77</f>
        <v>20000</v>
      </c>
      <c r="T15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3" s="8">
        <f>Входы!$C$94*Входы!$C$153*Входы!$C$95</f>
        <v>48750</v>
      </c>
      <c r="V153" s="8">
        <f>Входы!$C$154</f>
        <v>10000</v>
      </c>
      <c r="W153" s="8">
        <f>0</f>
        <v>0</v>
      </c>
      <c r="X153" s="8">
        <f>I153*Входы!$C$40*Входы!$C$81</f>
        <v>25000</v>
      </c>
      <c r="Y153" s="8">
        <f>J153*(Входы!$C$80*Входы!$C$81+Входы!$C$82)</f>
        <v>16250</v>
      </c>
      <c r="Z153" s="8">
        <f>J153*Входы!$C$96*Входы!$C$75*12</f>
        <v>7500</v>
      </c>
      <c r="AA153" s="8">
        <f>N153*Входы!$C$83</f>
        <v>20625</v>
      </c>
      <c r="AB153" s="8">
        <f t="shared" si="36"/>
        <v>416495.85</v>
      </c>
      <c r="AC153" s="8">
        <f t="shared" si="37"/>
        <v>-293370.84999999998</v>
      </c>
      <c r="AD153" s="8">
        <f t="shared" si="41"/>
        <v>-4221004.7699999996</v>
      </c>
      <c r="AE153" s="18">
        <f>ROUNDUP((T153+U153+V153+W153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3" s="24" t="str">
        <f t="shared" si="38"/>
        <v>Нет</v>
      </c>
      <c r="AG153" s="8">
        <f t="shared" si="39"/>
        <v>-313370.84999999998</v>
      </c>
    </row>
    <row r="154" spans="1:33" ht="25.5" x14ac:dyDescent="0.25">
      <c r="A154" s="2" t="s">
        <v>657</v>
      </c>
      <c r="B154" s="12">
        <v>22</v>
      </c>
      <c r="C154" s="2" t="s">
        <v>702</v>
      </c>
      <c r="D154" s="2" t="s">
        <v>738</v>
      </c>
      <c r="E154" s="18">
        <f>Входы!$C$103</f>
        <v>40</v>
      </c>
      <c r="F154" s="18">
        <f>E154*Входы!$C$104/Входы!$C$103</f>
        <v>12</v>
      </c>
      <c r="G154" s="18">
        <f>F154*Входы!$C$105/Входы!$C$104</f>
        <v>6</v>
      </c>
      <c r="H154" s="18">
        <f>Входы!$C$27/12/Входы!$C$40</f>
        <v>0.5</v>
      </c>
      <c r="I154" s="18">
        <f>MIN(G154,H154,(Входы!$C$30/12/Входы!$C$80)/Входы!$C$41,MAX(0,Входы!$C$33/Входы!$C$55-L154+K154)/Входы!$C$41,MAX(0,Входы!$C$21-L154)/Входы!$C$41,MAX(0,Входы!$C$57-SUM(J149:J153))/Входы!$C$41,Входы!$C$106/Входы!$C$41)</f>
        <v>0.5</v>
      </c>
      <c r="J154" s="18">
        <f>I154*Входы!$C$41</f>
        <v>0.25</v>
      </c>
      <c r="K154" s="18">
        <f>0</f>
        <v>0</v>
      </c>
      <c r="L154" s="18">
        <f t="shared" si="40"/>
        <v>4.25</v>
      </c>
      <c r="M154" s="18">
        <f t="shared" si="34"/>
        <v>4.5</v>
      </c>
      <c r="N154" s="18">
        <f t="shared" si="35"/>
        <v>4.375</v>
      </c>
      <c r="O154" s="18">
        <f>I154*Входы!$C$40</f>
        <v>10</v>
      </c>
      <c r="P154" s="18">
        <f>J154*Входы!$C$80</f>
        <v>5</v>
      </c>
      <c r="Q154" s="18">
        <f>N154*Входы!$C$55/12</f>
        <v>8.75</v>
      </c>
      <c r="R154" s="8">
        <f>N154*Входы!$C$75</f>
        <v>109375</v>
      </c>
      <c r="S154" s="8">
        <f>J154*Входы!$C$77</f>
        <v>20000</v>
      </c>
      <c r="T15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4" s="8">
        <f>Входы!$C$94*Входы!$C$153*Входы!$C$95</f>
        <v>48750</v>
      </c>
      <c r="V154" s="8">
        <f>Входы!$C$154</f>
        <v>10000</v>
      </c>
      <c r="W154" s="8">
        <f>0</f>
        <v>0</v>
      </c>
      <c r="X154" s="8">
        <f>I154*Входы!$C$40*Входы!$C$81</f>
        <v>25000</v>
      </c>
      <c r="Y154" s="8">
        <f>J154*(Входы!$C$80*Входы!$C$81+Входы!$C$82)</f>
        <v>16250</v>
      </c>
      <c r="Z154" s="8">
        <f>J154*Входы!$C$96*Входы!$C$75*12</f>
        <v>7500</v>
      </c>
      <c r="AA154" s="8">
        <f>N154*Входы!$C$83</f>
        <v>21875</v>
      </c>
      <c r="AB154" s="8">
        <f t="shared" si="36"/>
        <v>417745.85</v>
      </c>
      <c r="AC154" s="8">
        <f t="shared" si="37"/>
        <v>-288370.84999999998</v>
      </c>
      <c r="AD154" s="8">
        <f t="shared" si="41"/>
        <v>-4509375.6199999992</v>
      </c>
      <c r="AE154" s="18">
        <f>ROUNDUP((T154+U154+V154+W154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4" s="24" t="str">
        <f t="shared" si="38"/>
        <v>Нет</v>
      </c>
      <c r="AG154" s="8">
        <f t="shared" si="39"/>
        <v>-308370.84999999998</v>
      </c>
    </row>
    <row r="155" spans="1:33" ht="25.5" x14ac:dyDescent="0.25">
      <c r="A155" s="2" t="s">
        <v>657</v>
      </c>
      <c r="B155" s="12">
        <v>23</v>
      </c>
      <c r="C155" s="2" t="s">
        <v>702</v>
      </c>
      <c r="D155" s="2" t="s">
        <v>738</v>
      </c>
      <c r="E155" s="18">
        <f>Входы!$C$103</f>
        <v>40</v>
      </c>
      <c r="F155" s="18">
        <f>E155*Входы!$C$104/Входы!$C$103</f>
        <v>12</v>
      </c>
      <c r="G155" s="18">
        <f>F155*Входы!$C$105/Входы!$C$104</f>
        <v>6</v>
      </c>
      <c r="H155" s="18">
        <f>Входы!$C$27/12/Входы!$C$40</f>
        <v>0.5</v>
      </c>
      <c r="I155" s="18">
        <f>MIN(G155,H155,(Входы!$C$30/12/Входы!$C$80)/Входы!$C$41,MAX(0,Входы!$C$33/Входы!$C$55-L155+K155)/Входы!$C$41,MAX(0,Входы!$C$21-L155)/Входы!$C$41,MAX(0,Входы!$C$57-SUM(J149:J154))/Входы!$C$41,Входы!$C$106/Входы!$C$41)</f>
        <v>0.5</v>
      </c>
      <c r="J155" s="18">
        <f>I155*Входы!$C$41</f>
        <v>0.25</v>
      </c>
      <c r="K155" s="18">
        <f>0</f>
        <v>0</v>
      </c>
      <c r="L155" s="18">
        <f t="shared" si="40"/>
        <v>4.5</v>
      </c>
      <c r="M155" s="18">
        <f t="shared" si="34"/>
        <v>4.75</v>
      </c>
      <c r="N155" s="18">
        <f t="shared" si="35"/>
        <v>4.625</v>
      </c>
      <c r="O155" s="18">
        <f>I155*Входы!$C$40</f>
        <v>10</v>
      </c>
      <c r="P155" s="18">
        <f>J155*Входы!$C$80</f>
        <v>5</v>
      </c>
      <c r="Q155" s="18">
        <f>N155*Входы!$C$55/12</f>
        <v>9.25</v>
      </c>
      <c r="R155" s="8">
        <f>N155*Входы!$C$75</f>
        <v>115625</v>
      </c>
      <c r="S155" s="8">
        <f>J155*Входы!$C$77</f>
        <v>20000</v>
      </c>
      <c r="T15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5" s="8">
        <f>Входы!$C$94*Входы!$C$153*Входы!$C$95</f>
        <v>48750</v>
      </c>
      <c r="V155" s="8">
        <f>Входы!$C$154</f>
        <v>10000</v>
      </c>
      <c r="W155" s="8">
        <f>0</f>
        <v>0</v>
      </c>
      <c r="X155" s="8">
        <f>I155*Входы!$C$40*Входы!$C$81</f>
        <v>25000</v>
      </c>
      <c r="Y155" s="8">
        <f>J155*(Входы!$C$80*Входы!$C$81+Входы!$C$82)</f>
        <v>16250</v>
      </c>
      <c r="Z155" s="8">
        <f>J155*Входы!$C$96*Входы!$C$75*12</f>
        <v>7500</v>
      </c>
      <c r="AA155" s="8">
        <f>N155*Входы!$C$83</f>
        <v>23125</v>
      </c>
      <c r="AB155" s="8">
        <f t="shared" si="36"/>
        <v>418995.85</v>
      </c>
      <c r="AC155" s="8">
        <f t="shared" si="37"/>
        <v>-283370.84999999998</v>
      </c>
      <c r="AD155" s="8">
        <f t="shared" si="41"/>
        <v>-4792746.4699999988</v>
      </c>
      <c r="AE155" s="18">
        <f>ROUNDUP((T155+U155+V155+W155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5" s="24" t="str">
        <f t="shared" si="38"/>
        <v>Нет</v>
      </c>
      <c r="AG155" s="8">
        <f t="shared" si="39"/>
        <v>-303370.84999999998</v>
      </c>
    </row>
    <row r="156" spans="1:33" ht="25.5" x14ac:dyDescent="0.25">
      <c r="A156" s="2" t="s">
        <v>657</v>
      </c>
      <c r="B156" s="12">
        <v>24</v>
      </c>
      <c r="C156" s="2" t="s">
        <v>702</v>
      </c>
      <c r="D156" s="2" t="s">
        <v>738</v>
      </c>
      <c r="E156" s="18">
        <f>Входы!$C$103</f>
        <v>40</v>
      </c>
      <c r="F156" s="18">
        <f>E156*Входы!$C$104/Входы!$C$103</f>
        <v>12</v>
      </c>
      <c r="G156" s="18">
        <f>F156*Входы!$C$105/Входы!$C$104</f>
        <v>6</v>
      </c>
      <c r="H156" s="18">
        <f>Входы!$C$27/12/Входы!$C$40</f>
        <v>0.5</v>
      </c>
      <c r="I156" s="18">
        <f>MIN(G156,H156,(Входы!$C$30/12/Входы!$C$80)/Входы!$C$41,MAX(0,Входы!$C$33/Входы!$C$55-L156+K156)/Входы!$C$41,MAX(0,Входы!$C$21-L156)/Входы!$C$41,MAX(0,Входы!$C$57-SUM(J149:J155))/Входы!$C$41,Входы!$C$106/Входы!$C$41)</f>
        <v>0.5</v>
      </c>
      <c r="J156" s="18">
        <f>I156*Входы!$C$41</f>
        <v>0.25</v>
      </c>
      <c r="K156" s="18">
        <f>0</f>
        <v>0</v>
      </c>
      <c r="L156" s="18">
        <f t="shared" si="40"/>
        <v>4.75</v>
      </c>
      <c r="M156" s="18">
        <f t="shared" si="34"/>
        <v>5</v>
      </c>
      <c r="N156" s="18">
        <f t="shared" si="35"/>
        <v>4.875</v>
      </c>
      <c r="O156" s="18">
        <f>I156*Входы!$C$40</f>
        <v>10</v>
      </c>
      <c r="P156" s="18">
        <f>J156*Входы!$C$80</f>
        <v>5</v>
      </c>
      <c r="Q156" s="18">
        <f>N156*Входы!$C$55/12</f>
        <v>9.75</v>
      </c>
      <c r="R156" s="8">
        <f>N156*Входы!$C$75</f>
        <v>121875</v>
      </c>
      <c r="S156" s="8">
        <f>J156*Входы!$C$77</f>
        <v>20000</v>
      </c>
      <c r="T15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6" s="8">
        <f>Входы!$C$94*Входы!$C$153*Входы!$C$95</f>
        <v>48750</v>
      </c>
      <c r="V156" s="8">
        <f>Входы!$C$154</f>
        <v>10000</v>
      </c>
      <c r="W156" s="8">
        <f>0</f>
        <v>0</v>
      </c>
      <c r="X156" s="8">
        <f>I156*Входы!$C$40*Входы!$C$81</f>
        <v>25000</v>
      </c>
      <c r="Y156" s="8">
        <f>J156*(Входы!$C$80*Входы!$C$81+Входы!$C$82)</f>
        <v>16250</v>
      </c>
      <c r="Z156" s="8">
        <f>J156*Входы!$C$96*Входы!$C$75*12</f>
        <v>7500</v>
      </c>
      <c r="AA156" s="8">
        <f>N156*Входы!$C$83</f>
        <v>24375</v>
      </c>
      <c r="AB156" s="8">
        <f t="shared" si="36"/>
        <v>420245.85</v>
      </c>
      <c r="AC156" s="8">
        <f t="shared" si="37"/>
        <v>-278370.84999999998</v>
      </c>
      <c r="AD156" s="8">
        <f t="shared" si="41"/>
        <v>-5071117.3199999984</v>
      </c>
      <c r="AE156" s="18">
        <f>ROUNDUP((T156+U156+V156+W156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6" s="24" t="str">
        <f t="shared" si="38"/>
        <v>Нет</v>
      </c>
      <c r="AG156" s="8">
        <f t="shared" si="39"/>
        <v>-298370.84999999998</v>
      </c>
    </row>
    <row r="157" spans="1:33" ht="25.5" x14ac:dyDescent="0.25">
      <c r="A157" s="2" t="s">
        <v>657</v>
      </c>
      <c r="B157" s="12">
        <v>25</v>
      </c>
      <c r="C157" s="2" t="s">
        <v>702</v>
      </c>
      <c r="D157" s="2" t="s">
        <v>738</v>
      </c>
      <c r="E157" s="18">
        <f>Входы!$C$103</f>
        <v>40</v>
      </c>
      <c r="F157" s="18">
        <f>E157*Входы!$C$104/Входы!$C$103</f>
        <v>12</v>
      </c>
      <c r="G157" s="18">
        <f>F157*Входы!$C$105/Входы!$C$104</f>
        <v>6</v>
      </c>
      <c r="H157" s="18">
        <f>Входы!$C$27/12/Входы!$C$40</f>
        <v>0.5</v>
      </c>
      <c r="I157" s="18">
        <f>MIN(G157,H157,(Входы!$C$30/12/Входы!$C$80)/Входы!$C$41,MAX(0,Входы!$C$33/Входы!$C$55-L157+K157)/Входы!$C$41,MAX(0,Входы!$C$21-L157)/Входы!$C$41,MAX(0,Входы!$C$57-SUM(J149:J156))/Входы!$C$41,Входы!$C$106/Входы!$C$41)</f>
        <v>0.5</v>
      </c>
      <c r="J157" s="18">
        <f>I157*Входы!$C$41</f>
        <v>0.25</v>
      </c>
      <c r="K157" s="18">
        <f t="shared" ref="K157:K196" si="42">J133</f>
        <v>0</v>
      </c>
      <c r="L157" s="18">
        <f t="shared" si="40"/>
        <v>5</v>
      </c>
      <c r="M157" s="18">
        <f t="shared" si="34"/>
        <v>5.25</v>
      </c>
      <c r="N157" s="18">
        <f t="shared" si="35"/>
        <v>5.125</v>
      </c>
      <c r="O157" s="18">
        <f>I157*Входы!$C$40</f>
        <v>10</v>
      </c>
      <c r="P157" s="18">
        <f>J157*Входы!$C$80</f>
        <v>5</v>
      </c>
      <c r="Q157" s="18">
        <f>N157*Входы!$C$55/12</f>
        <v>10.25</v>
      </c>
      <c r="R157" s="8">
        <f>N157*Входы!$C$75</f>
        <v>128125</v>
      </c>
      <c r="S157" s="8">
        <f>J157*Входы!$C$77</f>
        <v>20000</v>
      </c>
      <c r="T15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7" s="8">
        <f>Входы!$C$94*Входы!$C$153*Входы!$C$95</f>
        <v>48750</v>
      </c>
      <c r="V157" s="8">
        <f>Входы!$C$154</f>
        <v>10000</v>
      </c>
      <c r="W157" s="8">
        <f>0</f>
        <v>0</v>
      </c>
      <c r="X157" s="8">
        <f>I157*Входы!$C$40*Входы!$C$81</f>
        <v>25000</v>
      </c>
      <c r="Y157" s="8">
        <f>J157*(Входы!$C$80*Входы!$C$81+Входы!$C$82)</f>
        <v>16250</v>
      </c>
      <c r="Z157" s="8">
        <f>J157*Входы!$C$96*Входы!$C$75*12</f>
        <v>7500</v>
      </c>
      <c r="AA157" s="8">
        <f>N157*Входы!$C$83</f>
        <v>25625</v>
      </c>
      <c r="AB157" s="8">
        <f t="shared" si="36"/>
        <v>421495.85</v>
      </c>
      <c r="AC157" s="8">
        <f t="shared" si="37"/>
        <v>-273370.84999999998</v>
      </c>
      <c r="AD157" s="8">
        <f t="shared" si="41"/>
        <v>-5344488.1699999981</v>
      </c>
      <c r="AE157" s="18">
        <f>ROUNDUP((T157+U157+V157+W157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7" s="24" t="str">
        <f t="shared" si="38"/>
        <v>Нет</v>
      </c>
      <c r="AG157" s="8">
        <f t="shared" si="39"/>
        <v>-293370.84999999998</v>
      </c>
    </row>
    <row r="158" spans="1:33" ht="25.5" x14ac:dyDescent="0.25">
      <c r="A158" s="2" t="s">
        <v>657</v>
      </c>
      <c r="B158" s="12">
        <v>26</v>
      </c>
      <c r="C158" s="2" t="s">
        <v>702</v>
      </c>
      <c r="D158" s="2" t="s">
        <v>738</v>
      </c>
      <c r="E158" s="18">
        <f>Входы!$C$103</f>
        <v>40</v>
      </c>
      <c r="F158" s="18">
        <f>E158*Входы!$C$104/Входы!$C$103</f>
        <v>12</v>
      </c>
      <c r="G158" s="18">
        <f>F158*Входы!$C$105/Входы!$C$104</f>
        <v>6</v>
      </c>
      <c r="H158" s="18">
        <f>Входы!$C$27/12/Входы!$C$40</f>
        <v>0.5</v>
      </c>
      <c r="I158" s="18">
        <f>MIN(G158,H158,(Входы!$C$30/12/Входы!$C$80)/Входы!$C$41,MAX(0,Входы!$C$33/Входы!$C$55-L158+K158)/Входы!$C$41,MAX(0,Входы!$C$21-L158)/Входы!$C$41,MAX(0,Входы!$C$57-SUM(J149:J157))/Входы!$C$41,Входы!$C$106/Входы!$C$41)</f>
        <v>0.5</v>
      </c>
      <c r="J158" s="18">
        <f>I158*Входы!$C$41</f>
        <v>0.25</v>
      </c>
      <c r="K158" s="18">
        <f t="shared" si="42"/>
        <v>0</v>
      </c>
      <c r="L158" s="18">
        <f t="shared" si="40"/>
        <v>5.25</v>
      </c>
      <c r="M158" s="18">
        <f t="shared" si="34"/>
        <v>5.5</v>
      </c>
      <c r="N158" s="18">
        <f t="shared" si="35"/>
        <v>5.375</v>
      </c>
      <c r="O158" s="18">
        <f>I158*Входы!$C$40</f>
        <v>10</v>
      </c>
      <c r="P158" s="18">
        <f>J158*Входы!$C$80</f>
        <v>5</v>
      </c>
      <c r="Q158" s="18">
        <f>N158*Входы!$C$55/12</f>
        <v>10.75</v>
      </c>
      <c r="R158" s="8">
        <f>N158*Входы!$C$75</f>
        <v>134375</v>
      </c>
      <c r="S158" s="8">
        <f>J158*Входы!$C$77</f>
        <v>20000</v>
      </c>
      <c r="T15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8" s="8">
        <f>Входы!$C$94*Входы!$C$153*Входы!$C$95</f>
        <v>48750</v>
      </c>
      <c r="V158" s="8">
        <f>Входы!$C$154</f>
        <v>10000</v>
      </c>
      <c r="W158" s="8">
        <f>0</f>
        <v>0</v>
      </c>
      <c r="X158" s="8">
        <f>I158*Входы!$C$40*Входы!$C$81</f>
        <v>25000</v>
      </c>
      <c r="Y158" s="8">
        <f>J158*(Входы!$C$80*Входы!$C$81+Входы!$C$82)</f>
        <v>16250</v>
      </c>
      <c r="Z158" s="8">
        <f>J158*Входы!$C$96*Входы!$C$75*12</f>
        <v>7500</v>
      </c>
      <c r="AA158" s="8">
        <f>N158*Входы!$C$83</f>
        <v>26875</v>
      </c>
      <c r="AB158" s="8">
        <f t="shared" si="36"/>
        <v>422745.85</v>
      </c>
      <c r="AC158" s="8">
        <f t="shared" si="37"/>
        <v>-268370.84999999998</v>
      </c>
      <c r="AD158" s="8">
        <f t="shared" si="41"/>
        <v>-5612859.0199999977</v>
      </c>
      <c r="AE158" s="18">
        <f>ROUNDUP((T158+U158+V158+W158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8" s="24" t="str">
        <f t="shared" si="38"/>
        <v>Нет</v>
      </c>
      <c r="AG158" s="8">
        <f t="shared" si="39"/>
        <v>-288370.84999999998</v>
      </c>
    </row>
    <row r="159" spans="1:33" ht="25.5" x14ac:dyDescent="0.25">
      <c r="A159" s="2" t="s">
        <v>657</v>
      </c>
      <c r="B159" s="12">
        <v>27</v>
      </c>
      <c r="C159" s="2" t="s">
        <v>702</v>
      </c>
      <c r="D159" s="2" t="s">
        <v>738</v>
      </c>
      <c r="E159" s="18">
        <f>Входы!$C$103</f>
        <v>40</v>
      </c>
      <c r="F159" s="18">
        <f>E159*Входы!$C$104/Входы!$C$103</f>
        <v>12</v>
      </c>
      <c r="G159" s="18">
        <f>F159*Входы!$C$105/Входы!$C$104</f>
        <v>6</v>
      </c>
      <c r="H159" s="18">
        <f>Входы!$C$27/12/Входы!$C$40</f>
        <v>0.5</v>
      </c>
      <c r="I159" s="18">
        <f>MIN(G159,H159,(Входы!$C$30/12/Входы!$C$80)/Входы!$C$41,MAX(0,Входы!$C$33/Входы!$C$55-L159+K159)/Входы!$C$41,MAX(0,Входы!$C$21-L159)/Входы!$C$41,MAX(0,Входы!$C$57-SUM(J149:J158))/Входы!$C$41,Входы!$C$106/Входы!$C$41)</f>
        <v>0.5</v>
      </c>
      <c r="J159" s="18">
        <f>I159*Входы!$C$41</f>
        <v>0.25</v>
      </c>
      <c r="K159" s="18">
        <f t="shared" si="42"/>
        <v>0</v>
      </c>
      <c r="L159" s="18">
        <f t="shared" si="40"/>
        <v>5.5</v>
      </c>
      <c r="M159" s="18">
        <f t="shared" si="34"/>
        <v>5.75</v>
      </c>
      <c r="N159" s="18">
        <f t="shared" si="35"/>
        <v>5.625</v>
      </c>
      <c r="O159" s="18">
        <f>I159*Входы!$C$40</f>
        <v>10</v>
      </c>
      <c r="P159" s="18">
        <f>J159*Входы!$C$80</f>
        <v>5</v>
      </c>
      <c r="Q159" s="18">
        <f>N159*Входы!$C$55/12</f>
        <v>11.25</v>
      </c>
      <c r="R159" s="8">
        <f>N159*Входы!$C$75</f>
        <v>140625</v>
      </c>
      <c r="S159" s="8">
        <f>J159*Входы!$C$77</f>
        <v>20000</v>
      </c>
      <c r="T15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59" s="8">
        <f>Входы!$C$94*Входы!$C$153*Входы!$C$95</f>
        <v>48750</v>
      </c>
      <c r="V159" s="8">
        <f>Входы!$C$154</f>
        <v>10000</v>
      </c>
      <c r="W159" s="8">
        <f>0</f>
        <v>0</v>
      </c>
      <c r="X159" s="8">
        <f>I159*Входы!$C$40*Входы!$C$81</f>
        <v>25000</v>
      </c>
      <c r="Y159" s="8">
        <f>J159*(Входы!$C$80*Входы!$C$81+Входы!$C$82)</f>
        <v>16250</v>
      </c>
      <c r="Z159" s="8">
        <f>J159*Входы!$C$96*Входы!$C$75*12</f>
        <v>7500</v>
      </c>
      <c r="AA159" s="8">
        <f>N159*Входы!$C$83</f>
        <v>28125</v>
      </c>
      <c r="AB159" s="8">
        <f t="shared" si="36"/>
        <v>423995.85</v>
      </c>
      <c r="AC159" s="8">
        <f t="shared" si="37"/>
        <v>-263370.84999999998</v>
      </c>
      <c r="AD159" s="8">
        <f t="shared" si="41"/>
        <v>-5876229.8699999973</v>
      </c>
      <c r="AE159" s="18">
        <f>ROUNDUP((T159+U159+V159+W159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59" s="24" t="str">
        <f t="shared" si="38"/>
        <v>Нет</v>
      </c>
      <c r="AG159" s="8">
        <f t="shared" si="39"/>
        <v>-283370.84999999998</v>
      </c>
    </row>
    <row r="160" spans="1:33" ht="25.5" x14ac:dyDescent="0.25">
      <c r="A160" s="2" t="s">
        <v>657</v>
      </c>
      <c r="B160" s="12">
        <v>28</v>
      </c>
      <c r="C160" s="2" t="s">
        <v>702</v>
      </c>
      <c r="D160" s="2" t="s">
        <v>738</v>
      </c>
      <c r="E160" s="18">
        <f>Входы!$C$103</f>
        <v>40</v>
      </c>
      <c r="F160" s="18">
        <f>E160*Входы!$C$104/Входы!$C$103</f>
        <v>12</v>
      </c>
      <c r="G160" s="18">
        <f>F160*Входы!$C$105/Входы!$C$104</f>
        <v>6</v>
      </c>
      <c r="H160" s="18">
        <f>Входы!$C$27/12/Входы!$C$40</f>
        <v>0.5</v>
      </c>
      <c r="I160" s="18">
        <f>MIN(G160,H160,(Входы!$C$30/12/Входы!$C$80)/Входы!$C$41,MAX(0,Входы!$C$33/Входы!$C$55-L160+K160)/Входы!$C$41,MAX(0,Входы!$C$21-L160)/Входы!$C$41,MAX(0,Входы!$C$57-SUM(J149:J159))/Входы!$C$41,Входы!$C$106/Входы!$C$41)</f>
        <v>0.5</v>
      </c>
      <c r="J160" s="18">
        <f>I160*Входы!$C$41</f>
        <v>0.25</v>
      </c>
      <c r="K160" s="18">
        <f t="shared" si="42"/>
        <v>0</v>
      </c>
      <c r="L160" s="18">
        <f t="shared" si="40"/>
        <v>5.75</v>
      </c>
      <c r="M160" s="18">
        <f t="shared" si="34"/>
        <v>6</v>
      </c>
      <c r="N160" s="18">
        <f t="shared" si="35"/>
        <v>5.875</v>
      </c>
      <c r="O160" s="18">
        <f>I160*Входы!$C$40</f>
        <v>10</v>
      </c>
      <c r="P160" s="18">
        <f>J160*Входы!$C$80</f>
        <v>5</v>
      </c>
      <c r="Q160" s="18">
        <f>N160*Входы!$C$55/12</f>
        <v>11.75</v>
      </c>
      <c r="R160" s="8">
        <f>N160*Входы!$C$75</f>
        <v>146875</v>
      </c>
      <c r="S160" s="8">
        <f>J160*Входы!$C$77</f>
        <v>20000</v>
      </c>
      <c r="T16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0" s="8">
        <f>Входы!$C$94*Входы!$C$153*Входы!$C$95</f>
        <v>48750</v>
      </c>
      <c r="V160" s="8">
        <f>Входы!$C$154</f>
        <v>10000</v>
      </c>
      <c r="W160" s="8">
        <f>0</f>
        <v>0</v>
      </c>
      <c r="X160" s="8">
        <f>I160*Входы!$C$40*Входы!$C$81</f>
        <v>25000</v>
      </c>
      <c r="Y160" s="8">
        <f>J160*(Входы!$C$80*Входы!$C$81+Входы!$C$82)</f>
        <v>16250</v>
      </c>
      <c r="Z160" s="8">
        <f>J160*Входы!$C$96*Входы!$C$75*12</f>
        <v>7500</v>
      </c>
      <c r="AA160" s="8">
        <f>N160*Входы!$C$83</f>
        <v>29375</v>
      </c>
      <c r="AB160" s="8">
        <f t="shared" si="36"/>
        <v>425245.85</v>
      </c>
      <c r="AC160" s="8">
        <f t="shared" si="37"/>
        <v>-258370.84999999998</v>
      </c>
      <c r="AD160" s="8">
        <f t="shared" si="41"/>
        <v>-6134600.7199999969</v>
      </c>
      <c r="AE160" s="18">
        <f>ROUNDUP((T160+U160+V160+W160+(MIN(Входы!$C$57,Входы!$C$27/Входы!$C$40*Входы!$C$41,Входы!$C$30/Входы!$C$80,Входы!$C$106*12))/12*(Входы!$C$40*Входы!$C$81/Входы!$C$41+Входы!$C$96*Входы!$C$75*12))/(Входы!$C$75-Входы!$C$83),0)</f>
        <v>19</v>
      </c>
      <c r="AF160" s="24" t="str">
        <f t="shared" si="38"/>
        <v>Нет</v>
      </c>
      <c r="AG160" s="8">
        <f t="shared" si="39"/>
        <v>-278370.84999999998</v>
      </c>
    </row>
    <row r="161" spans="1:33" ht="38.25" x14ac:dyDescent="0.25">
      <c r="A161" s="2" t="s">
        <v>657</v>
      </c>
      <c r="B161" s="12">
        <v>29</v>
      </c>
      <c r="C161" s="2" t="s">
        <v>739</v>
      </c>
      <c r="D161" s="2" t="s">
        <v>744</v>
      </c>
      <c r="E161" s="18">
        <f>Входы!$C$36</f>
        <v>80</v>
      </c>
      <c r="F161" s="18">
        <f>E161*Входы!$C$37/Входы!$C$36</f>
        <v>24</v>
      </c>
      <c r="G161" s="18">
        <f>F161*Входы!$C$38/Входы!$C$37</f>
        <v>12</v>
      </c>
      <c r="H161" s="18">
        <f>Проект!$B$25/12/Входы!$C$40</f>
        <v>5.3333333333333339</v>
      </c>
      <c r="I161" s="18">
        <f>MIN(G161,H161,(Проект!$B$26/12/Входы!$C$80)/Входы!$C$41,MAX(0,Проект!$B$27/Входы!$C$55-L161+K161)/Входы!$C$41,MAX(0,Входы!$C$22-L161)/Входы!$C$41,MAX(0,Проект!$B$23-0)/Входы!$C$41,Проект!$B$23/12/Входы!$C$41)</f>
        <v>5.333333333333333</v>
      </c>
      <c r="J161" s="18">
        <f>I161*Входы!$C$41</f>
        <v>2.6666666666666665</v>
      </c>
      <c r="K161" s="18">
        <f t="shared" si="42"/>
        <v>0.25</v>
      </c>
      <c r="L161" s="18">
        <f t="shared" si="40"/>
        <v>6</v>
      </c>
      <c r="M161" s="18">
        <f t="shared" si="34"/>
        <v>8.4166666666666661</v>
      </c>
      <c r="N161" s="18">
        <f t="shared" si="35"/>
        <v>7.208333333333333</v>
      </c>
      <c r="O161" s="18">
        <f>I161*Входы!$C$40</f>
        <v>106.66666666666666</v>
      </c>
      <c r="P161" s="18">
        <f>J161*Входы!$C$80</f>
        <v>53.333333333333329</v>
      </c>
      <c r="Q161" s="18">
        <f>N161*Входы!$C$55/12</f>
        <v>14.416666666666666</v>
      </c>
      <c r="R161" s="8">
        <f>N161*Входы!$C$75</f>
        <v>180208.33333333331</v>
      </c>
      <c r="S161" s="8">
        <f>J161*Входы!$C$77</f>
        <v>213333.33333333331</v>
      </c>
      <c r="T16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1" s="8">
        <f>Входы!$C$94*Входы!$C$153*Входы!$C$95</f>
        <v>48750</v>
      </c>
      <c r="V161" s="8">
        <f>Входы!$C$154</f>
        <v>10000</v>
      </c>
      <c r="W161" s="8">
        <f>0</f>
        <v>0</v>
      </c>
      <c r="X161" s="8">
        <f>I161*Входы!$C$40*Входы!$C$81</f>
        <v>266666.66666666663</v>
      </c>
      <c r="Y161" s="8">
        <f>J161*(Входы!$C$80*Входы!$C$81+Входы!$C$82)</f>
        <v>173333.33333333331</v>
      </c>
      <c r="Z161" s="8">
        <f>J161*Входы!$C$96*Входы!$C$75*12</f>
        <v>80000</v>
      </c>
      <c r="AA161" s="8">
        <f>N161*Входы!$C$83</f>
        <v>36041.666666666664</v>
      </c>
      <c r="AB161" s="8">
        <f t="shared" si="36"/>
        <v>903162.51666666649</v>
      </c>
      <c r="AC161" s="8">
        <f t="shared" si="37"/>
        <v>-509620.84999999986</v>
      </c>
      <c r="AD161" s="8">
        <f t="shared" si="41"/>
        <v>-6644221.5699999966</v>
      </c>
      <c r="AE161" s="18">
        <f>ROUNDUP((T161+U161+V161+W161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1" s="24" t="str">
        <f t="shared" si="38"/>
        <v>Нет</v>
      </c>
      <c r="AG161" s="8">
        <f t="shared" si="39"/>
        <v>-722954.18333333312</v>
      </c>
    </row>
    <row r="162" spans="1:33" ht="38.25" x14ac:dyDescent="0.25">
      <c r="A162" s="2" t="s">
        <v>657</v>
      </c>
      <c r="B162" s="12">
        <v>30</v>
      </c>
      <c r="C162" s="2" t="s">
        <v>739</v>
      </c>
      <c r="D162" s="2" t="s">
        <v>744</v>
      </c>
      <c r="E162" s="18">
        <f>Входы!$C$36</f>
        <v>80</v>
      </c>
      <c r="F162" s="18">
        <f>E162*Входы!$C$37/Входы!$C$36</f>
        <v>24</v>
      </c>
      <c r="G162" s="18">
        <f>F162*Входы!$C$38/Входы!$C$37</f>
        <v>12</v>
      </c>
      <c r="H162" s="18">
        <f>Проект!$B$25/12/Входы!$C$40</f>
        <v>5.3333333333333339</v>
      </c>
      <c r="I162" s="18">
        <f>MIN(G162,H162,(Проект!$B$26/12/Входы!$C$80)/Входы!$C$41,MAX(0,Проект!$B$27/Входы!$C$55-L162+K162)/Входы!$C$41,MAX(0,Входы!$C$22-L162)/Входы!$C$41,MAX(0,Проект!$B$23-SUM(J161:J161))/Входы!$C$41,Проект!$B$23/12/Входы!$C$41)</f>
        <v>5.333333333333333</v>
      </c>
      <c r="J162" s="18">
        <f>I162*Входы!$C$41</f>
        <v>2.6666666666666665</v>
      </c>
      <c r="K162" s="18">
        <f t="shared" si="42"/>
        <v>0.25</v>
      </c>
      <c r="L162" s="18">
        <f t="shared" si="40"/>
        <v>8.4166666666666661</v>
      </c>
      <c r="M162" s="18">
        <f t="shared" si="34"/>
        <v>10.833333333333332</v>
      </c>
      <c r="N162" s="18">
        <f t="shared" si="35"/>
        <v>9.625</v>
      </c>
      <c r="O162" s="18">
        <f>I162*Входы!$C$40</f>
        <v>106.66666666666666</v>
      </c>
      <c r="P162" s="18">
        <f>J162*Входы!$C$80</f>
        <v>53.333333333333329</v>
      </c>
      <c r="Q162" s="18">
        <f>N162*Входы!$C$55/12</f>
        <v>19.25</v>
      </c>
      <c r="R162" s="8">
        <f>N162*Входы!$C$75</f>
        <v>240625</v>
      </c>
      <c r="S162" s="8">
        <f>J162*Входы!$C$77</f>
        <v>213333.33333333331</v>
      </c>
      <c r="T16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2" s="8">
        <f>Входы!$C$94*Входы!$C$153*Входы!$C$95</f>
        <v>48750</v>
      </c>
      <c r="V162" s="8">
        <f>Входы!$C$154</f>
        <v>10000</v>
      </c>
      <c r="W162" s="8">
        <f>0</f>
        <v>0</v>
      </c>
      <c r="X162" s="8">
        <f>I162*Входы!$C$40*Входы!$C$81</f>
        <v>266666.66666666663</v>
      </c>
      <c r="Y162" s="8">
        <f>J162*(Входы!$C$80*Входы!$C$81+Входы!$C$82)</f>
        <v>173333.33333333331</v>
      </c>
      <c r="Z162" s="8">
        <f>J162*Входы!$C$96*Входы!$C$75*12</f>
        <v>80000</v>
      </c>
      <c r="AA162" s="8">
        <f>N162*Входы!$C$83</f>
        <v>48125</v>
      </c>
      <c r="AB162" s="8">
        <f t="shared" si="36"/>
        <v>915245.84999999986</v>
      </c>
      <c r="AC162" s="8">
        <f t="shared" si="37"/>
        <v>-461287.51666666655</v>
      </c>
      <c r="AD162" s="8">
        <f t="shared" si="41"/>
        <v>-7105509.0866666632</v>
      </c>
      <c r="AE162" s="18">
        <f>ROUNDUP((T162+U162+V162+W162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2" s="24" t="str">
        <f t="shared" si="38"/>
        <v>Нет</v>
      </c>
      <c r="AG162" s="8">
        <f t="shared" si="39"/>
        <v>-674620.84999999986</v>
      </c>
    </row>
    <row r="163" spans="1:33" ht="38.25" x14ac:dyDescent="0.25">
      <c r="A163" s="2" t="s">
        <v>657</v>
      </c>
      <c r="B163" s="12">
        <v>31</v>
      </c>
      <c r="C163" s="2" t="s">
        <v>739</v>
      </c>
      <c r="D163" s="2" t="s">
        <v>744</v>
      </c>
      <c r="E163" s="18">
        <f>Входы!$C$36</f>
        <v>80</v>
      </c>
      <c r="F163" s="18">
        <f>E163*Входы!$C$37/Входы!$C$36</f>
        <v>24</v>
      </c>
      <c r="G163" s="18">
        <f>F163*Входы!$C$38/Входы!$C$37</f>
        <v>12</v>
      </c>
      <c r="H163" s="18">
        <f>Проект!$B$25/12/Входы!$C$40</f>
        <v>5.3333333333333339</v>
      </c>
      <c r="I163" s="18">
        <f>MIN(G163,H163,(Проект!$B$26/12/Входы!$C$80)/Входы!$C$41,MAX(0,Проект!$B$27/Входы!$C$55-L163+K163)/Входы!$C$41,MAX(0,Входы!$C$22-L163)/Входы!$C$41,MAX(0,Проект!$B$23-SUM(J161:J162))/Входы!$C$41,Проект!$B$23/12/Входы!$C$41)</f>
        <v>5.333333333333333</v>
      </c>
      <c r="J163" s="18">
        <f>I163*Входы!$C$41</f>
        <v>2.6666666666666665</v>
      </c>
      <c r="K163" s="18">
        <f t="shared" si="42"/>
        <v>0.25</v>
      </c>
      <c r="L163" s="18">
        <f t="shared" si="40"/>
        <v>10.833333333333332</v>
      </c>
      <c r="M163" s="18">
        <f t="shared" si="34"/>
        <v>13.249999999999998</v>
      </c>
      <c r="N163" s="18">
        <f t="shared" si="35"/>
        <v>12.041666666666664</v>
      </c>
      <c r="O163" s="18">
        <f>I163*Входы!$C$40</f>
        <v>106.66666666666666</v>
      </c>
      <c r="P163" s="18">
        <f>J163*Входы!$C$80</f>
        <v>53.333333333333329</v>
      </c>
      <c r="Q163" s="18">
        <f>N163*Входы!$C$55/12</f>
        <v>24.083333333333329</v>
      </c>
      <c r="R163" s="8">
        <f>N163*Входы!$C$75</f>
        <v>301041.66666666663</v>
      </c>
      <c r="S163" s="8">
        <f>J163*Входы!$C$77</f>
        <v>213333.33333333331</v>
      </c>
      <c r="T16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3" s="8">
        <f>Входы!$C$94*Входы!$C$153*Входы!$C$95</f>
        <v>48750</v>
      </c>
      <c r="V163" s="8">
        <f>Входы!$C$154</f>
        <v>10000</v>
      </c>
      <c r="W163" s="8">
        <f>0</f>
        <v>0</v>
      </c>
      <c r="X163" s="8">
        <f>I163*Входы!$C$40*Входы!$C$81</f>
        <v>266666.66666666663</v>
      </c>
      <c r="Y163" s="8">
        <f>J163*(Входы!$C$80*Входы!$C$81+Входы!$C$82)</f>
        <v>173333.33333333331</v>
      </c>
      <c r="Z163" s="8">
        <f>J163*Входы!$C$96*Входы!$C$75*12</f>
        <v>80000</v>
      </c>
      <c r="AA163" s="8">
        <f>N163*Входы!$C$83</f>
        <v>60208.333333333321</v>
      </c>
      <c r="AB163" s="8">
        <f t="shared" si="36"/>
        <v>927329.18333333323</v>
      </c>
      <c r="AC163" s="8">
        <f t="shared" si="37"/>
        <v>-412954.18333333329</v>
      </c>
      <c r="AD163" s="8">
        <f t="shared" si="41"/>
        <v>-7518463.2699999968</v>
      </c>
      <c r="AE163" s="18">
        <f>ROUNDUP((T163+U163+V163+W163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3" s="24" t="str">
        <f t="shared" si="38"/>
        <v>Нет</v>
      </c>
      <c r="AG163" s="8">
        <f t="shared" si="39"/>
        <v>-626287.5166666666</v>
      </c>
    </row>
    <row r="164" spans="1:33" ht="38.25" x14ac:dyDescent="0.25">
      <c r="A164" s="2" t="s">
        <v>657</v>
      </c>
      <c r="B164" s="12">
        <v>32</v>
      </c>
      <c r="C164" s="2" t="s">
        <v>739</v>
      </c>
      <c r="D164" s="2" t="s">
        <v>744</v>
      </c>
      <c r="E164" s="18">
        <f>Входы!$C$36</f>
        <v>80</v>
      </c>
      <c r="F164" s="18">
        <f>E164*Входы!$C$37/Входы!$C$36</f>
        <v>24</v>
      </c>
      <c r="G164" s="18">
        <f>F164*Входы!$C$38/Входы!$C$37</f>
        <v>12</v>
      </c>
      <c r="H164" s="18">
        <f>Проект!$B$25/12/Входы!$C$40</f>
        <v>5.3333333333333339</v>
      </c>
      <c r="I164" s="18">
        <f>MIN(G164,H164,(Проект!$B$26/12/Входы!$C$80)/Входы!$C$41,MAX(0,Проект!$B$27/Входы!$C$55-L164+K164)/Входы!$C$41,MAX(0,Входы!$C$22-L164)/Входы!$C$41,MAX(0,Проект!$B$23-SUM(J161:J163))/Входы!$C$41,Проект!$B$23/12/Входы!$C$41)</f>
        <v>5.333333333333333</v>
      </c>
      <c r="J164" s="18">
        <f>I164*Входы!$C$41</f>
        <v>2.6666666666666665</v>
      </c>
      <c r="K164" s="18">
        <f t="shared" si="42"/>
        <v>0.25</v>
      </c>
      <c r="L164" s="18">
        <f t="shared" si="40"/>
        <v>13.249999999999998</v>
      </c>
      <c r="M164" s="18">
        <f t="shared" si="34"/>
        <v>15.666666666666664</v>
      </c>
      <c r="N164" s="18">
        <f t="shared" si="35"/>
        <v>14.458333333333332</v>
      </c>
      <c r="O164" s="18">
        <f>I164*Входы!$C$40</f>
        <v>106.66666666666666</v>
      </c>
      <c r="P164" s="18">
        <f>J164*Входы!$C$80</f>
        <v>53.333333333333329</v>
      </c>
      <c r="Q164" s="18">
        <f>N164*Входы!$C$55/12</f>
        <v>28.916666666666668</v>
      </c>
      <c r="R164" s="8">
        <f>N164*Входы!$C$75</f>
        <v>361458.33333333331</v>
      </c>
      <c r="S164" s="8">
        <f>J164*Входы!$C$77</f>
        <v>213333.33333333331</v>
      </c>
      <c r="T16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4" s="8">
        <f>Входы!$C$94*Входы!$C$153*Входы!$C$95</f>
        <v>48750</v>
      </c>
      <c r="V164" s="8">
        <f>Входы!$C$154</f>
        <v>10000</v>
      </c>
      <c r="W164" s="8">
        <f>0</f>
        <v>0</v>
      </c>
      <c r="X164" s="8">
        <f>I164*Входы!$C$40*Входы!$C$81</f>
        <v>266666.66666666663</v>
      </c>
      <c r="Y164" s="8">
        <f>J164*(Входы!$C$80*Входы!$C$81+Входы!$C$82)</f>
        <v>173333.33333333331</v>
      </c>
      <c r="Z164" s="8">
        <f>J164*Входы!$C$96*Входы!$C$75*12</f>
        <v>80000</v>
      </c>
      <c r="AA164" s="8">
        <f>N164*Входы!$C$83</f>
        <v>72291.666666666657</v>
      </c>
      <c r="AB164" s="8">
        <f t="shared" si="36"/>
        <v>939412.51666666649</v>
      </c>
      <c r="AC164" s="8">
        <f t="shared" si="37"/>
        <v>-364620.84999999986</v>
      </c>
      <c r="AD164" s="8">
        <f t="shared" si="41"/>
        <v>-7883084.1199999964</v>
      </c>
      <c r="AE164" s="18">
        <f>ROUNDUP((T164+U164+V164+W164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4" s="24" t="str">
        <f t="shared" si="38"/>
        <v>Нет</v>
      </c>
      <c r="AG164" s="8">
        <f t="shared" si="39"/>
        <v>-577954.18333333312</v>
      </c>
    </row>
    <row r="165" spans="1:33" ht="38.25" x14ac:dyDescent="0.25">
      <c r="A165" s="2" t="s">
        <v>657</v>
      </c>
      <c r="B165" s="12">
        <v>33</v>
      </c>
      <c r="C165" s="2" t="s">
        <v>739</v>
      </c>
      <c r="D165" s="2" t="s">
        <v>744</v>
      </c>
      <c r="E165" s="18">
        <f>Входы!$C$36</f>
        <v>80</v>
      </c>
      <c r="F165" s="18">
        <f>E165*Входы!$C$37/Входы!$C$36</f>
        <v>24</v>
      </c>
      <c r="G165" s="18">
        <f>F165*Входы!$C$38/Входы!$C$37</f>
        <v>12</v>
      </c>
      <c r="H165" s="18">
        <f>Проект!$B$25/12/Входы!$C$40</f>
        <v>5.3333333333333339</v>
      </c>
      <c r="I165" s="18">
        <f>MIN(G165,H165,(Проект!$B$26/12/Входы!$C$80)/Входы!$C$41,MAX(0,Проект!$B$27/Входы!$C$55-L165+K165)/Входы!$C$41,MAX(0,Входы!$C$22-L165)/Входы!$C$41,MAX(0,Проект!$B$23-SUM(J161:J164))/Входы!$C$41,Проект!$B$23/12/Входы!$C$41)</f>
        <v>5.333333333333333</v>
      </c>
      <c r="J165" s="18">
        <f>I165*Входы!$C$41</f>
        <v>2.6666666666666665</v>
      </c>
      <c r="K165" s="18">
        <f t="shared" si="42"/>
        <v>0.25</v>
      </c>
      <c r="L165" s="18">
        <f t="shared" si="40"/>
        <v>15.666666666666664</v>
      </c>
      <c r="M165" s="18">
        <f t="shared" ref="M165:M196" si="43">MAX(0,L165+J165-K165)</f>
        <v>18.083333333333332</v>
      </c>
      <c r="N165" s="18">
        <f t="shared" ref="N165:N196" si="44">(L165+M165)/2</f>
        <v>16.875</v>
      </c>
      <c r="O165" s="18">
        <f>I165*Входы!$C$40</f>
        <v>106.66666666666666</v>
      </c>
      <c r="P165" s="18">
        <f>J165*Входы!$C$80</f>
        <v>53.333333333333329</v>
      </c>
      <c r="Q165" s="18">
        <f>N165*Входы!$C$55/12</f>
        <v>33.75</v>
      </c>
      <c r="R165" s="8">
        <f>N165*Входы!$C$75</f>
        <v>421875</v>
      </c>
      <c r="S165" s="8">
        <f>J165*Входы!$C$77</f>
        <v>213333.33333333331</v>
      </c>
      <c r="T16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5" s="8">
        <f>Входы!$C$94*Входы!$C$153*Входы!$C$95</f>
        <v>48750</v>
      </c>
      <c r="V165" s="8">
        <f>Входы!$C$154</f>
        <v>10000</v>
      </c>
      <c r="W165" s="8">
        <f>0</f>
        <v>0</v>
      </c>
      <c r="X165" s="8">
        <f>I165*Входы!$C$40*Входы!$C$81</f>
        <v>266666.66666666663</v>
      </c>
      <c r="Y165" s="8">
        <f>J165*(Входы!$C$80*Входы!$C$81+Входы!$C$82)</f>
        <v>173333.33333333331</v>
      </c>
      <c r="Z165" s="8">
        <f>J165*Входы!$C$96*Входы!$C$75*12</f>
        <v>80000</v>
      </c>
      <c r="AA165" s="8">
        <f>N165*Входы!$C$83</f>
        <v>84375</v>
      </c>
      <c r="AB165" s="8">
        <f t="shared" ref="AB165:AB196" si="45">SUM(T165:AA165)</f>
        <v>951495.84999999986</v>
      </c>
      <c r="AC165" s="8">
        <f t="shared" ref="AC165:AC196" si="46">SUM(R165:S165)-AB165</f>
        <v>-316287.5166666666</v>
      </c>
      <c r="AD165" s="8">
        <f t="shared" si="41"/>
        <v>-8199371.636666663</v>
      </c>
      <c r="AE165" s="18">
        <f>ROUNDUP((T165+U165+V165+W165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5" s="24" t="str">
        <f t="shared" ref="AF165:AF196" si="47">IF(AE165&gt;0,IF(M165&gt;=AE165,"Да","Нет"),"")</f>
        <v>Нет</v>
      </c>
      <c r="AG165" s="8">
        <f t="shared" ref="AG165:AG196" si="48">R165-AB165</f>
        <v>-529620.84999999986</v>
      </c>
    </row>
    <row r="166" spans="1:33" ht="38.25" x14ac:dyDescent="0.25">
      <c r="A166" s="2" t="s">
        <v>657</v>
      </c>
      <c r="B166" s="12">
        <v>34</v>
      </c>
      <c r="C166" s="2" t="s">
        <v>739</v>
      </c>
      <c r="D166" s="2" t="s">
        <v>744</v>
      </c>
      <c r="E166" s="18">
        <f>Входы!$C$36</f>
        <v>80</v>
      </c>
      <c r="F166" s="18">
        <f>E166*Входы!$C$37/Входы!$C$36</f>
        <v>24</v>
      </c>
      <c r="G166" s="18">
        <f>F166*Входы!$C$38/Входы!$C$37</f>
        <v>12</v>
      </c>
      <c r="H166" s="18">
        <f>Проект!$B$25/12/Входы!$C$40</f>
        <v>5.3333333333333339</v>
      </c>
      <c r="I166" s="18">
        <f>MIN(G166,H166,(Проект!$B$26/12/Входы!$C$80)/Входы!$C$41,MAX(0,Проект!$B$27/Входы!$C$55-L166+K166)/Входы!$C$41,MAX(0,Входы!$C$22-L166)/Входы!$C$41,MAX(0,Проект!$B$23-SUM(J161:J165))/Входы!$C$41,Проект!$B$23/12/Входы!$C$41)</f>
        <v>5.333333333333333</v>
      </c>
      <c r="J166" s="18">
        <f>I166*Входы!$C$41</f>
        <v>2.6666666666666665</v>
      </c>
      <c r="K166" s="18">
        <f t="shared" si="42"/>
        <v>0.25</v>
      </c>
      <c r="L166" s="18">
        <f t="shared" ref="L166:L196" si="49">M165</f>
        <v>18.083333333333332</v>
      </c>
      <c r="M166" s="18">
        <f t="shared" si="43"/>
        <v>20.5</v>
      </c>
      <c r="N166" s="18">
        <f t="shared" si="44"/>
        <v>19.291666666666664</v>
      </c>
      <c r="O166" s="18">
        <f>I166*Входы!$C$40</f>
        <v>106.66666666666666</v>
      </c>
      <c r="P166" s="18">
        <f>J166*Входы!$C$80</f>
        <v>53.333333333333329</v>
      </c>
      <c r="Q166" s="18">
        <f>N166*Входы!$C$55/12</f>
        <v>38.583333333333329</v>
      </c>
      <c r="R166" s="8">
        <f>N166*Входы!$C$75</f>
        <v>482291.66666666663</v>
      </c>
      <c r="S166" s="8">
        <f>J166*Входы!$C$77</f>
        <v>213333.33333333331</v>
      </c>
      <c r="T16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6" s="8">
        <f>Входы!$C$94*Входы!$C$153*Входы!$C$95</f>
        <v>48750</v>
      </c>
      <c r="V166" s="8">
        <f>Входы!$C$154</f>
        <v>10000</v>
      </c>
      <c r="W166" s="8">
        <f>0</f>
        <v>0</v>
      </c>
      <c r="X166" s="8">
        <f>I166*Входы!$C$40*Входы!$C$81</f>
        <v>266666.66666666663</v>
      </c>
      <c r="Y166" s="8">
        <f>J166*(Входы!$C$80*Входы!$C$81+Входы!$C$82)</f>
        <v>173333.33333333331</v>
      </c>
      <c r="Z166" s="8">
        <f>J166*Входы!$C$96*Входы!$C$75*12</f>
        <v>80000</v>
      </c>
      <c r="AA166" s="8">
        <f>N166*Входы!$C$83</f>
        <v>96458.333333333328</v>
      </c>
      <c r="AB166" s="8">
        <f t="shared" si="45"/>
        <v>963579.18333333323</v>
      </c>
      <c r="AC166" s="8">
        <f t="shared" si="46"/>
        <v>-267954.18333333323</v>
      </c>
      <c r="AD166" s="8">
        <f t="shared" ref="AD166:AD197" si="50">AD165+AC166</f>
        <v>-8467325.8199999966</v>
      </c>
      <c r="AE166" s="18">
        <f>ROUNDUP((T166+U166+V166+W166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6" s="24" t="str">
        <f t="shared" si="47"/>
        <v>Нет</v>
      </c>
      <c r="AG166" s="8">
        <f t="shared" si="48"/>
        <v>-481287.5166666666</v>
      </c>
    </row>
    <row r="167" spans="1:33" ht="38.25" x14ac:dyDescent="0.25">
      <c r="A167" s="2" t="s">
        <v>657</v>
      </c>
      <c r="B167" s="12">
        <v>35</v>
      </c>
      <c r="C167" s="2" t="s">
        <v>739</v>
      </c>
      <c r="D167" s="2" t="s">
        <v>744</v>
      </c>
      <c r="E167" s="18">
        <f>Входы!$C$36</f>
        <v>80</v>
      </c>
      <c r="F167" s="18">
        <f>E167*Входы!$C$37/Входы!$C$36</f>
        <v>24</v>
      </c>
      <c r="G167" s="18">
        <f>F167*Входы!$C$38/Входы!$C$37</f>
        <v>12</v>
      </c>
      <c r="H167" s="18">
        <f>Проект!$B$25/12/Входы!$C$40</f>
        <v>5.3333333333333339</v>
      </c>
      <c r="I167" s="18">
        <f>MIN(G167,H167,(Проект!$B$26/12/Входы!$C$80)/Входы!$C$41,MAX(0,Проект!$B$27/Входы!$C$55-L167+K167)/Входы!$C$41,MAX(0,Входы!$C$22-L167)/Входы!$C$41,MAX(0,Проект!$B$23-SUM(J161:J166))/Входы!$C$41,Проект!$B$23/12/Входы!$C$41)</f>
        <v>5.333333333333333</v>
      </c>
      <c r="J167" s="18">
        <f>I167*Входы!$C$41</f>
        <v>2.6666666666666665</v>
      </c>
      <c r="K167" s="18">
        <f t="shared" si="42"/>
        <v>0.25</v>
      </c>
      <c r="L167" s="18">
        <f t="shared" si="49"/>
        <v>20.5</v>
      </c>
      <c r="M167" s="18">
        <f t="shared" si="43"/>
        <v>22.916666666666668</v>
      </c>
      <c r="N167" s="18">
        <f t="shared" si="44"/>
        <v>21.708333333333336</v>
      </c>
      <c r="O167" s="18">
        <f>I167*Входы!$C$40</f>
        <v>106.66666666666666</v>
      </c>
      <c r="P167" s="18">
        <f>J167*Входы!$C$80</f>
        <v>53.333333333333329</v>
      </c>
      <c r="Q167" s="18">
        <f>N167*Входы!$C$55/12</f>
        <v>43.416666666666664</v>
      </c>
      <c r="R167" s="8">
        <f>N167*Входы!$C$75</f>
        <v>542708.33333333337</v>
      </c>
      <c r="S167" s="8">
        <f>J167*Входы!$C$77</f>
        <v>213333.33333333331</v>
      </c>
      <c r="T16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7" s="8">
        <f>Входы!$C$94*Входы!$C$153*Входы!$C$95</f>
        <v>48750</v>
      </c>
      <c r="V167" s="8">
        <f>Входы!$C$154</f>
        <v>10000</v>
      </c>
      <c r="W167" s="8">
        <f>0</f>
        <v>0</v>
      </c>
      <c r="X167" s="8">
        <f>I167*Входы!$C$40*Входы!$C$81</f>
        <v>266666.66666666663</v>
      </c>
      <c r="Y167" s="8">
        <f>J167*(Входы!$C$80*Входы!$C$81+Входы!$C$82)</f>
        <v>173333.33333333331</v>
      </c>
      <c r="Z167" s="8">
        <f>J167*Входы!$C$96*Входы!$C$75*12</f>
        <v>80000</v>
      </c>
      <c r="AA167" s="8">
        <f>N167*Входы!$C$83</f>
        <v>108541.66666666667</v>
      </c>
      <c r="AB167" s="8">
        <f t="shared" si="45"/>
        <v>975662.51666666649</v>
      </c>
      <c r="AC167" s="8">
        <f t="shared" si="46"/>
        <v>-219620.84999999974</v>
      </c>
      <c r="AD167" s="8">
        <f t="shared" si="50"/>
        <v>-8686946.6699999962</v>
      </c>
      <c r="AE167" s="18">
        <f>ROUNDUP((T167+U167+V167+W167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7" s="24" t="str">
        <f t="shared" si="47"/>
        <v>Нет</v>
      </c>
      <c r="AG167" s="8">
        <f t="shared" si="48"/>
        <v>-432954.18333333312</v>
      </c>
    </row>
    <row r="168" spans="1:33" ht="38.25" x14ac:dyDescent="0.25">
      <c r="A168" s="2" t="s">
        <v>657</v>
      </c>
      <c r="B168" s="12">
        <v>36</v>
      </c>
      <c r="C168" s="2" t="s">
        <v>739</v>
      </c>
      <c r="D168" s="2" t="s">
        <v>744</v>
      </c>
      <c r="E168" s="18">
        <f>Входы!$C$36</f>
        <v>80</v>
      </c>
      <c r="F168" s="18">
        <f>E168*Входы!$C$37/Входы!$C$36</f>
        <v>24</v>
      </c>
      <c r="G168" s="18">
        <f>F168*Входы!$C$38/Входы!$C$37</f>
        <v>12</v>
      </c>
      <c r="H168" s="18">
        <f>Проект!$B$25/12/Входы!$C$40</f>
        <v>5.3333333333333339</v>
      </c>
      <c r="I168" s="18">
        <f>MIN(G168,H168,(Проект!$B$26/12/Входы!$C$80)/Входы!$C$41,MAX(0,Проект!$B$27/Входы!$C$55-L168+K168)/Входы!$C$41,MAX(0,Входы!$C$22-L168)/Входы!$C$41,MAX(0,Проект!$B$23-SUM(J161:J167))/Входы!$C$41,Проект!$B$23/12/Входы!$C$41)</f>
        <v>5.333333333333333</v>
      </c>
      <c r="J168" s="18">
        <f>I168*Входы!$C$41</f>
        <v>2.6666666666666665</v>
      </c>
      <c r="K168" s="18">
        <f t="shared" si="42"/>
        <v>0.25</v>
      </c>
      <c r="L168" s="18">
        <f t="shared" si="49"/>
        <v>22.916666666666668</v>
      </c>
      <c r="M168" s="18">
        <f t="shared" si="43"/>
        <v>25.333333333333336</v>
      </c>
      <c r="N168" s="18">
        <f t="shared" si="44"/>
        <v>24.125</v>
      </c>
      <c r="O168" s="18">
        <f>I168*Входы!$C$40</f>
        <v>106.66666666666666</v>
      </c>
      <c r="P168" s="18">
        <f>J168*Входы!$C$80</f>
        <v>53.333333333333329</v>
      </c>
      <c r="Q168" s="18">
        <f>N168*Входы!$C$55/12</f>
        <v>48.25</v>
      </c>
      <c r="R168" s="8">
        <f>N168*Входы!$C$75</f>
        <v>603125</v>
      </c>
      <c r="S168" s="8">
        <f>J168*Входы!$C$77</f>
        <v>213333.33333333331</v>
      </c>
      <c r="T16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8" s="8">
        <f>Входы!$C$94*Входы!$C$153*Входы!$C$95</f>
        <v>48750</v>
      </c>
      <c r="V168" s="8">
        <f>Входы!$C$154</f>
        <v>10000</v>
      </c>
      <c r="W168" s="8">
        <f>0</f>
        <v>0</v>
      </c>
      <c r="X168" s="8">
        <f>I168*Входы!$C$40*Входы!$C$81</f>
        <v>266666.66666666663</v>
      </c>
      <c r="Y168" s="8">
        <f>J168*(Входы!$C$80*Входы!$C$81+Входы!$C$82)</f>
        <v>173333.33333333331</v>
      </c>
      <c r="Z168" s="8">
        <f>J168*Входы!$C$96*Входы!$C$75*12</f>
        <v>80000</v>
      </c>
      <c r="AA168" s="8">
        <f>N168*Входы!$C$83</f>
        <v>120625</v>
      </c>
      <c r="AB168" s="8">
        <f t="shared" si="45"/>
        <v>987745.84999999986</v>
      </c>
      <c r="AC168" s="8">
        <f t="shared" si="46"/>
        <v>-171287.5166666666</v>
      </c>
      <c r="AD168" s="8">
        <f t="shared" si="50"/>
        <v>-8858234.1866666637</v>
      </c>
      <c r="AE168" s="18">
        <f>ROUNDUP((T168+U168+V168+W168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8" s="24" t="str">
        <f t="shared" si="47"/>
        <v>Нет</v>
      </c>
      <c r="AG168" s="8">
        <f t="shared" si="48"/>
        <v>-384620.84999999986</v>
      </c>
    </row>
    <row r="169" spans="1:33" ht="38.25" x14ac:dyDescent="0.25">
      <c r="A169" s="2" t="s">
        <v>657</v>
      </c>
      <c r="B169" s="12">
        <v>37</v>
      </c>
      <c r="C169" s="2" t="s">
        <v>739</v>
      </c>
      <c r="D169" s="2" t="s">
        <v>744</v>
      </c>
      <c r="E169" s="18">
        <f>Входы!$C$36</f>
        <v>80</v>
      </c>
      <c r="F169" s="18">
        <f>E169*Входы!$C$37/Входы!$C$36</f>
        <v>24</v>
      </c>
      <c r="G169" s="18">
        <f>F169*Входы!$C$38/Входы!$C$37</f>
        <v>12</v>
      </c>
      <c r="H169" s="18">
        <f>Проект!$B$25/12/Входы!$C$40</f>
        <v>5.3333333333333339</v>
      </c>
      <c r="I169" s="18">
        <f>MIN(G169,H169,(Проект!$B$26/12/Входы!$C$80)/Входы!$C$41,MAX(0,Проект!$B$27/Входы!$C$55-L169+K169)/Входы!$C$41,MAX(0,Входы!$C$22-L169)/Входы!$C$41,MAX(0,Проект!$B$23-SUM(J161:J168))/Входы!$C$41,Проект!$B$23/12/Входы!$C$41)</f>
        <v>5.333333333333333</v>
      </c>
      <c r="J169" s="18">
        <f>I169*Входы!$C$41</f>
        <v>2.6666666666666665</v>
      </c>
      <c r="K169" s="18">
        <f t="shared" si="42"/>
        <v>0.25</v>
      </c>
      <c r="L169" s="18">
        <f t="shared" si="49"/>
        <v>25.333333333333336</v>
      </c>
      <c r="M169" s="18">
        <f t="shared" si="43"/>
        <v>27.750000000000004</v>
      </c>
      <c r="N169" s="18">
        <f t="shared" si="44"/>
        <v>26.541666666666671</v>
      </c>
      <c r="O169" s="18">
        <f>I169*Входы!$C$40</f>
        <v>106.66666666666666</v>
      </c>
      <c r="P169" s="18">
        <f>J169*Входы!$C$80</f>
        <v>53.333333333333329</v>
      </c>
      <c r="Q169" s="18">
        <f>N169*Входы!$C$55/12</f>
        <v>53.083333333333343</v>
      </c>
      <c r="R169" s="8">
        <f>N169*Входы!$C$75</f>
        <v>663541.66666666674</v>
      </c>
      <c r="S169" s="8">
        <f>J169*Входы!$C$77</f>
        <v>213333.33333333331</v>
      </c>
      <c r="T16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69" s="8">
        <f>Входы!$C$94*Входы!$C$153*Входы!$C$95</f>
        <v>48750</v>
      </c>
      <c r="V169" s="8">
        <f>Входы!$C$154</f>
        <v>10000</v>
      </c>
      <c r="W169" s="8">
        <f>0</f>
        <v>0</v>
      </c>
      <c r="X169" s="8">
        <f>I169*Входы!$C$40*Входы!$C$81</f>
        <v>266666.66666666663</v>
      </c>
      <c r="Y169" s="8">
        <f>J169*(Входы!$C$80*Входы!$C$81+Входы!$C$82)</f>
        <v>173333.33333333331</v>
      </c>
      <c r="Z169" s="8">
        <f>J169*Входы!$C$96*Входы!$C$75*12</f>
        <v>80000</v>
      </c>
      <c r="AA169" s="8">
        <f>N169*Входы!$C$83</f>
        <v>132708.33333333334</v>
      </c>
      <c r="AB169" s="8">
        <f t="shared" si="45"/>
        <v>999829.18333333323</v>
      </c>
      <c r="AC169" s="8">
        <f t="shared" si="46"/>
        <v>-122954.18333333323</v>
      </c>
      <c r="AD169" s="8">
        <f t="shared" si="50"/>
        <v>-8981188.3699999973</v>
      </c>
      <c r="AE169" s="18">
        <f>ROUNDUP((T169+U169+V169+W169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69" s="24" t="str">
        <f t="shared" si="47"/>
        <v>Нет</v>
      </c>
      <c r="AG169" s="8">
        <f t="shared" si="48"/>
        <v>-336287.51666666649</v>
      </c>
    </row>
    <row r="170" spans="1:33" ht="38.25" x14ac:dyDescent="0.25">
      <c r="A170" s="2" t="s">
        <v>657</v>
      </c>
      <c r="B170" s="12">
        <v>38</v>
      </c>
      <c r="C170" s="2" t="s">
        <v>739</v>
      </c>
      <c r="D170" s="2" t="s">
        <v>744</v>
      </c>
      <c r="E170" s="18">
        <f>Входы!$C$36</f>
        <v>80</v>
      </c>
      <c r="F170" s="18">
        <f>E170*Входы!$C$37/Входы!$C$36</f>
        <v>24</v>
      </c>
      <c r="G170" s="18">
        <f>F170*Входы!$C$38/Входы!$C$37</f>
        <v>12</v>
      </c>
      <c r="H170" s="18">
        <f>Проект!$B$25/12/Входы!$C$40</f>
        <v>5.3333333333333339</v>
      </c>
      <c r="I170" s="18">
        <f>MIN(G170,H170,(Проект!$B$26/12/Входы!$C$80)/Входы!$C$41,MAX(0,Проект!$B$27/Входы!$C$55-L170+K170)/Входы!$C$41,MAX(0,Входы!$C$22-L170)/Входы!$C$41,MAX(0,Проект!$B$23-SUM(J161:J169))/Входы!$C$41,Проект!$B$23/12/Входы!$C$41)</f>
        <v>5.333333333333333</v>
      </c>
      <c r="J170" s="18">
        <f>I170*Входы!$C$41</f>
        <v>2.6666666666666665</v>
      </c>
      <c r="K170" s="18">
        <f t="shared" si="42"/>
        <v>0.25</v>
      </c>
      <c r="L170" s="18">
        <f t="shared" si="49"/>
        <v>27.750000000000004</v>
      </c>
      <c r="M170" s="18">
        <f t="shared" si="43"/>
        <v>30.166666666666671</v>
      </c>
      <c r="N170" s="18">
        <f t="shared" si="44"/>
        <v>28.958333333333336</v>
      </c>
      <c r="O170" s="18">
        <f>I170*Входы!$C$40</f>
        <v>106.66666666666666</v>
      </c>
      <c r="P170" s="18">
        <f>J170*Входы!$C$80</f>
        <v>53.333333333333329</v>
      </c>
      <c r="Q170" s="18">
        <f>N170*Входы!$C$55/12</f>
        <v>57.916666666666664</v>
      </c>
      <c r="R170" s="8">
        <f>N170*Входы!$C$75</f>
        <v>723958.33333333337</v>
      </c>
      <c r="S170" s="8">
        <f>J170*Входы!$C$77</f>
        <v>213333.33333333331</v>
      </c>
      <c r="T17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0" s="8">
        <f>Входы!$C$94*Входы!$C$153*Входы!$C$95</f>
        <v>48750</v>
      </c>
      <c r="V170" s="8">
        <f>Входы!$C$154</f>
        <v>10000</v>
      </c>
      <c r="W170" s="8">
        <f>0</f>
        <v>0</v>
      </c>
      <c r="X170" s="8">
        <f>I170*Входы!$C$40*Входы!$C$81</f>
        <v>266666.66666666663</v>
      </c>
      <c r="Y170" s="8">
        <f>J170*(Входы!$C$80*Входы!$C$81+Входы!$C$82)</f>
        <v>173333.33333333331</v>
      </c>
      <c r="Z170" s="8">
        <f>J170*Входы!$C$96*Входы!$C$75*12</f>
        <v>80000</v>
      </c>
      <c r="AA170" s="8">
        <f>N170*Входы!$C$83</f>
        <v>144791.66666666669</v>
      </c>
      <c r="AB170" s="8">
        <f t="shared" si="45"/>
        <v>1011912.5166666666</v>
      </c>
      <c r="AC170" s="8">
        <f t="shared" si="46"/>
        <v>-74620.84999999986</v>
      </c>
      <c r="AD170" s="8">
        <f t="shared" si="50"/>
        <v>-9055809.2199999969</v>
      </c>
      <c r="AE170" s="18">
        <f>ROUNDUP((T170+U170+V170+W170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0" s="24" t="str">
        <f t="shared" si="47"/>
        <v>Нет</v>
      </c>
      <c r="AG170" s="8">
        <f t="shared" si="48"/>
        <v>-287954.18333333323</v>
      </c>
    </row>
    <row r="171" spans="1:33" ht="38.25" x14ac:dyDescent="0.25">
      <c r="A171" s="2" t="s">
        <v>657</v>
      </c>
      <c r="B171" s="12">
        <v>39</v>
      </c>
      <c r="C171" s="2" t="s">
        <v>739</v>
      </c>
      <c r="D171" s="2" t="s">
        <v>744</v>
      </c>
      <c r="E171" s="18">
        <f>Входы!$C$36</f>
        <v>80</v>
      </c>
      <c r="F171" s="18">
        <f>E171*Входы!$C$37/Входы!$C$36</f>
        <v>24</v>
      </c>
      <c r="G171" s="18">
        <f>F171*Входы!$C$38/Входы!$C$37</f>
        <v>12</v>
      </c>
      <c r="H171" s="18">
        <f>Проект!$B$25/12/Входы!$C$40</f>
        <v>5.3333333333333339</v>
      </c>
      <c r="I171" s="18">
        <f>MIN(G171,H171,(Проект!$B$26/12/Входы!$C$80)/Входы!$C$41,MAX(0,Проект!$B$27/Входы!$C$55-L171+K171)/Входы!$C$41,MAX(0,Входы!$C$22-L171)/Входы!$C$41,MAX(0,Проект!$B$23-SUM(J161:J170))/Входы!$C$41,Проект!$B$23/12/Входы!$C$41)</f>
        <v>5.333333333333333</v>
      </c>
      <c r="J171" s="18">
        <f>I171*Входы!$C$41</f>
        <v>2.6666666666666665</v>
      </c>
      <c r="K171" s="18">
        <f t="shared" si="42"/>
        <v>0.25</v>
      </c>
      <c r="L171" s="18">
        <f t="shared" si="49"/>
        <v>30.166666666666671</v>
      </c>
      <c r="M171" s="18">
        <f t="shared" si="43"/>
        <v>32.583333333333336</v>
      </c>
      <c r="N171" s="18">
        <f t="shared" si="44"/>
        <v>31.375000000000004</v>
      </c>
      <c r="O171" s="18">
        <f>I171*Входы!$C$40</f>
        <v>106.66666666666666</v>
      </c>
      <c r="P171" s="18">
        <f>J171*Входы!$C$80</f>
        <v>53.333333333333329</v>
      </c>
      <c r="Q171" s="18">
        <f>N171*Входы!$C$55/12</f>
        <v>62.750000000000007</v>
      </c>
      <c r="R171" s="8">
        <f>N171*Входы!$C$75</f>
        <v>784375.00000000012</v>
      </c>
      <c r="S171" s="8">
        <f>J171*Входы!$C$77</f>
        <v>213333.33333333331</v>
      </c>
      <c r="T17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1" s="8">
        <f>Входы!$C$94*Входы!$C$153*Входы!$C$95</f>
        <v>48750</v>
      </c>
      <c r="V171" s="8">
        <f>Входы!$C$154</f>
        <v>10000</v>
      </c>
      <c r="W171" s="8">
        <f>0</f>
        <v>0</v>
      </c>
      <c r="X171" s="8">
        <f>I171*Входы!$C$40*Входы!$C$81</f>
        <v>266666.66666666663</v>
      </c>
      <c r="Y171" s="8">
        <f>J171*(Входы!$C$80*Входы!$C$81+Входы!$C$82)</f>
        <v>173333.33333333331</v>
      </c>
      <c r="Z171" s="8">
        <f>J171*Входы!$C$96*Входы!$C$75*12</f>
        <v>80000</v>
      </c>
      <c r="AA171" s="8">
        <f>N171*Входы!$C$83</f>
        <v>156875.00000000003</v>
      </c>
      <c r="AB171" s="8">
        <f t="shared" si="45"/>
        <v>1023995.8499999999</v>
      </c>
      <c r="AC171" s="8">
        <f t="shared" si="46"/>
        <v>-26287.516666666372</v>
      </c>
      <c r="AD171" s="8">
        <f t="shared" si="50"/>
        <v>-9082096.7366666626</v>
      </c>
      <c r="AE171" s="18">
        <f>ROUNDUP((T171+U171+V171+W171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1" s="24" t="str">
        <f t="shared" si="47"/>
        <v>Нет</v>
      </c>
      <c r="AG171" s="8">
        <f t="shared" si="48"/>
        <v>-239620.84999999974</v>
      </c>
    </row>
    <row r="172" spans="1:33" ht="38.25" x14ac:dyDescent="0.25">
      <c r="A172" s="2" t="s">
        <v>657</v>
      </c>
      <c r="B172" s="12">
        <v>40</v>
      </c>
      <c r="C172" s="2" t="s">
        <v>739</v>
      </c>
      <c r="D172" s="2" t="s">
        <v>744</v>
      </c>
      <c r="E172" s="18">
        <f>Входы!$C$36</f>
        <v>80</v>
      </c>
      <c r="F172" s="18">
        <f>E172*Входы!$C$37/Входы!$C$36</f>
        <v>24</v>
      </c>
      <c r="G172" s="18">
        <f>F172*Входы!$C$38/Входы!$C$37</f>
        <v>12</v>
      </c>
      <c r="H172" s="18">
        <f>Проект!$B$25/12/Входы!$C$40</f>
        <v>5.3333333333333339</v>
      </c>
      <c r="I172" s="18">
        <f>MIN(G172,H172,(Проект!$B$26/12/Входы!$C$80)/Входы!$C$41,MAX(0,Проект!$B$27/Входы!$C$55-L172+K172)/Входы!$C$41,MAX(0,Входы!$C$22-L172)/Входы!$C$41,MAX(0,Проект!$B$23-SUM(J161:J171))/Входы!$C$41,Проект!$B$23/12/Входы!$C$41)</f>
        <v>5.3333333333333286</v>
      </c>
      <c r="J172" s="18">
        <f>I172*Входы!$C$41</f>
        <v>2.6666666666666643</v>
      </c>
      <c r="K172" s="18">
        <f t="shared" si="42"/>
        <v>0.25</v>
      </c>
      <c r="L172" s="18">
        <f t="shared" si="49"/>
        <v>32.583333333333336</v>
      </c>
      <c r="M172" s="18">
        <f t="shared" si="43"/>
        <v>35</v>
      </c>
      <c r="N172" s="18">
        <f t="shared" si="44"/>
        <v>33.791666666666671</v>
      </c>
      <c r="O172" s="18">
        <f>I172*Входы!$C$40</f>
        <v>106.66666666666657</v>
      </c>
      <c r="P172" s="18">
        <f>J172*Входы!$C$80</f>
        <v>53.333333333333286</v>
      </c>
      <c r="Q172" s="18">
        <f>N172*Входы!$C$55/12</f>
        <v>67.583333333333343</v>
      </c>
      <c r="R172" s="8">
        <f>N172*Входы!$C$75</f>
        <v>844791.66666666674</v>
      </c>
      <c r="S172" s="8">
        <f>J172*Входы!$C$77</f>
        <v>213333.33333333314</v>
      </c>
      <c r="T17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2" s="8">
        <f>Входы!$C$94*Входы!$C$153*Входы!$C$95</f>
        <v>48750</v>
      </c>
      <c r="V172" s="8">
        <f>Входы!$C$154</f>
        <v>10000</v>
      </c>
      <c r="W172" s="8">
        <f>0</f>
        <v>0</v>
      </c>
      <c r="X172" s="8">
        <f>I172*Входы!$C$40*Входы!$C$81</f>
        <v>266666.66666666645</v>
      </c>
      <c r="Y172" s="8">
        <f>J172*(Входы!$C$80*Входы!$C$81+Входы!$C$82)</f>
        <v>173333.33333333317</v>
      </c>
      <c r="Z172" s="8">
        <f>J172*Входы!$C$96*Входы!$C$75*12</f>
        <v>79999.999999999927</v>
      </c>
      <c r="AA172" s="8">
        <f>N172*Входы!$C$83</f>
        <v>168958.33333333334</v>
      </c>
      <c r="AB172" s="8">
        <f t="shared" si="45"/>
        <v>1036079.1833333328</v>
      </c>
      <c r="AC172" s="8">
        <f t="shared" si="46"/>
        <v>22045.816666667233</v>
      </c>
      <c r="AD172" s="8">
        <f t="shared" si="50"/>
        <v>-9060050.9199999962</v>
      </c>
      <c r="AE172" s="18">
        <f>ROUNDUP((T172+U172+V172+W172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2" s="24" t="str">
        <f t="shared" si="47"/>
        <v>Да</v>
      </c>
      <c r="AG172" s="8">
        <f t="shared" si="48"/>
        <v>-191287.51666666602</v>
      </c>
    </row>
    <row r="173" spans="1:33" ht="25.5" x14ac:dyDescent="0.25">
      <c r="A173" s="2" t="s">
        <v>657</v>
      </c>
      <c r="B173" s="12">
        <v>41</v>
      </c>
      <c r="C173" s="2" t="s">
        <v>741</v>
      </c>
      <c r="D173" s="2" t="s">
        <v>743</v>
      </c>
      <c r="E173" s="18">
        <f>Входы!$C$36</f>
        <v>80</v>
      </c>
      <c r="F173" s="18">
        <f>E173*Входы!$C$37/Входы!$C$36</f>
        <v>24</v>
      </c>
      <c r="G173" s="18">
        <f>F173*Входы!$C$38/Входы!$C$37</f>
        <v>12</v>
      </c>
      <c r="H173" s="18">
        <f>Проект!$B$25/12/Входы!$C$40</f>
        <v>5.3333333333333339</v>
      </c>
      <c r="I173" s="18">
        <f>MIN(G173,H173,(Проект!$B$26/12/Входы!$C$80)/Входы!$C$41,MAX(0,Проект!$B$27/Входы!$C$55-L173+K173)/Входы!$C$41,MAX(0,Входы!$C$22-L173)/Входы!$C$41,MAX(0,Проект!$B$23-0)/Входы!$C$41,Проект!$B$23/12/Входы!$C$41)</f>
        <v>0.5</v>
      </c>
      <c r="J173" s="18">
        <f>I173*Входы!$C$41</f>
        <v>0.25</v>
      </c>
      <c r="K173" s="18">
        <f t="shared" si="42"/>
        <v>0.25</v>
      </c>
      <c r="L173" s="18">
        <f t="shared" si="49"/>
        <v>35</v>
      </c>
      <c r="M173" s="18">
        <f t="shared" si="43"/>
        <v>35</v>
      </c>
      <c r="N173" s="18">
        <f t="shared" si="44"/>
        <v>35</v>
      </c>
      <c r="O173" s="18">
        <f>I173*Входы!$C$40</f>
        <v>10</v>
      </c>
      <c r="P173" s="18">
        <f>J173*Входы!$C$80</f>
        <v>5</v>
      </c>
      <c r="Q173" s="18">
        <f>N173*Входы!$C$55/12</f>
        <v>70</v>
      </c>
      <c r="R173" s="8">
        <f>N173*Входы!$C$75</f>
        <v>875000</v>
      </c>
      <c r="S173" s="8">
        <f>J173*Входы!$C$77</f>
        <v>20000</v>
      </c>
      <c r="T17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3" s="8">
        <f>Входы!$C$94*Входы!$C$153*Входы!$C$95</f>
        <v>48750</v>
      </c>
      <c r="V173" s="8">
        <f>Входы!$C$154</f>
        <v>10000</v>
      </c>
      <c r="W173" s="8">
        <f>0</f>
        <v>0</v>
      </c>
      <c r="X173" s="8">
        <f>I173*Входы!$C$40*Входы!$C$81</f>
        <v>25000</v>
      </c>
      <c r="Y173" s="8">
        <f>J173*(Входы!$C$80*Входы!$C$81+Входы!$C$82)</f>
        <v>16250</v>
      </c>
      <c r="Z173" s="8">
        <f>J173*Входы!$C$96*Входы!$C$75*12</f>
        <v>7500</v>
      </c>
      <c r="AA173" s="8">
        <f>N173*Входы!$C$83</f>
        <v>175000</v>
      </c>
      <c r="AB173" s="8">
        <f t="shared" si="45"/>
        <v>570870.85</v>
      </c>
      <c r="AC173" s="8">
        <f t="shared" si="46"/>
        <v>324129.15000000002</v>
      </c>
      <c r="AD173" s="8">
        <f t="shared" si="50"/>
        <v>-8735921.7699999958</v>
      </c>
      <c r="AE173" s="18">
        <f>ROUNDUP((T173+U173+V173+W173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3" s="24" t="str">
        <f t="shared" si="47"/>
        <v>Да</v>
      </c>
      <c r="AG173" s="8">
        <f t="shared" si="48"/>
        <v>304129.15000000002</v>
      </c>
    </row>
    <row r="174" spans="1:33" ht="25.5" x14ac:dyDescent="0.25">
      <c r="A174" s="2" t="s">
        <v>657</v>
      </c>
      <c r="B174" s="12">
        <v>42</v>
      </c>
      <c r="C174" s="2" t="s">
        <v>741</v>
      </c>
      <c r="D174" s="2" t="s">
        <v>743</v>
      </c>
      <c r="E174" s="18">
        <f>Входы!$C$36</f>
        <v>80</v>
      </c>
      <c r="F174" s="18">
        <f>E174*Входы!$C$37/Входы!$C$36</f>
        <v>24</v>
      </c>
      <c r="G174" s="18">
        <f>F174*Входы!$C$38/Входы!$C$37</f>
        <v>12</v>
      </c>
      <c r="H174" s="18">
        <f>Проект!$B$25/12/Входы!$C$40</f>
        <v>5.3333333333333339</v>
      </c>
      <c r="I174" s="18">
        <f>MIN(G174,H174,(Проект!$B$26/12/Входы!$C$80)/Входы!$C$41,MAX(0,Проект!$B$27/Входы!$C$55-L174+K174)/Входы!$C$41,MAX(0,Входы!$C$22-L174)/Входы!$C$41,MAX(0,Проект!$B$23-SUM(J173:J173))/Входы!$C$41,Проект!$B$23/12/Входы!$C$41)</f>
        <v>0.5</v>
      </c>
      <c r="J174" s="18">
        <f>I174*Входы!$C$41</f>
        <v>0.25</v>
      </c>
      <c r="K174" s="18">
        <f t="shared" si="42"/>
        <v>0.25</v>
      </c>
      <c r="L174" s="18">
        <f t="shared" si="49"/>
        <v>35</v>
      </c>
      <c r="M174" s="18">
        <f t="shared" si="43"/>
        <v>35</v>
      </c>
      <c r="N174" s="18">
        <f t="shared" si="44"/>
        <v>35</v>
      </c>
      <c r="O174" s="18">
        <f>I174*Входы!$C$40</f>
        <v>10</v>
      </c>
      <c r="P174" s="18">
        <f>J174*Входы!$C$80</f>
        <v>5</v>
      </c>
      <c r="Q174" s="18">
        <f>N174*Входы!$C$55/12</f>
        <v>70</v>
      </c>
      <c r="R174" s="8">
        <f>N174*Входы!$C$75</f>
        <v>875000</v>
      </c>
      <c r="S174" s="8">
        <f>J174*Входы!$C$77</f>
        <v>20000</v>
      </c>
      <c r="T17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4" s="8">
        <f>Входы!$C$94*Входы!$C$153*Входы!$C$95</f>
        <v>48750</v>
      </c>
      <c r="V174" s="8">
        <f>Входы!$C$154</f>
        <v>10000</v>
      </c>
      <c r="W174" s="8">
        <f>0</f>
        <v>0</v>
      </c>
      <c r="X174" s="8">
        <f>I174*Входы!$C$40*Входы!$C$81</f>
        <v>25000</v>
      </c>
      <c r="Y174" s="8">
        <f>J174*(Входы!$C$80*Входы!$C$81+Входы!$C$82)</f>
        <v>16250</v>
      </c>
      <c r="Z174" s="8">
        <f>J174*Входы!$C$96*Входы!$C$75*12</f>
        <v>7500</v>
      </c>
      <c r="AA174" s="8">
        <f>N174*Входы!$C$83</f>
        <v>175000</v>
      </c>
      <c r="AB174" s="8">
        <f t="shared" si="45"/>
        <v>570870.85</v>
      </c>
      <c r="AC174" s="8">
        <f t="shared" si="46"/>
        <v>324129.15000000002</v>
      </c>
      <c r="AD174" s="8">
        <f t="shared" si="50"/>
        <v>-8411792.6199999955</v>
      </c>
      <c r="AE174" s="18">
        <f>ROUNDUP((T174+U174+V174+W174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4" s="24" t="str">
        <f t="shared" si="47"/>
        <v>Да</v>
      </c>
      <c r="AG174" s="8">
        <f t="shared" si="48"/>
        <v>304129.15000000002</v>
      </c>
    </row>
    <row r="175" spans="1:33" ht="25.5" x14ac:dyDescent="0.25">
      <c r="A175" s="2" t="s">
        <v>657</v>
      </c>
      <c r="B175" s="12">
        <v>43</v>
      </c>
      <c r="C175" s="2" t="s">
        <v>741</v>
      </c>
      <c r="D175" s="2" t="s">
        <v>743</v>
      </c>
      <c r="E175" s="18">
        <f>Входы!$C$36</f>
        <v>80</v>
      </c>
      <c r="F175" s="18">
        <f>E175*Входы!$C$37/Входы!$C$36</f>
        <v>24</v>
      </c>
      <c r="G175" s="18">
        <f>F175*Входы!$C$38/Входы!$C$37</f>
        <v>12</v>
      </c>
      <c r="H175" s="18">
        <f>Проект!$B$25/12/Входы!$C$40</f>
        <v>5.3333333333333339</v>
      </c>
      <c r="I175" s="18">
        <f>MIN(G175,H175,(Проект!$B$26/12/Входы!$C$80)/Входы!$C$41,MAX(0,Проект!$B$27/Входы!$C$55-L175+K175)/Входы!$C$41,MAX(0,Входы!$C$22-L175)/Входы!$C$41,MAX(0,Проект!$B$23-SUM(J173:J174))/Входы!$C$41,Проект!$B$23/12/Входы!$C$41)</f>
        <v>0.5</v>
      </c>
      <c r="J175" s="18">
        <f>I175*Входы!$C$41</f>
        <v>0.25</v>
      </c>
      <c r="K175" s="18">
        <f t="shared" si="42"/>
        <v>0.25</v>
      </c>
      <c r="L175" s="18">
        <f t="shared" si="49"/>
        <v>35</v>
      </c>
      <c r="M175" s="18">
        <f t="shared" si="43"/>
        <v>35</v>
      </c>
      <c r="N175" s="18">
        <f t="shared" si="44"/>
        <v>35</v>
      </c>
      <c r="O175" s="18">
        <f>I175*Входы!$C$40</f>
        <v>10</v>
      </c>
      <c r="P175" s="18">
        <f>J175*Входы!$C$80</f>
        <v>5</v>
      </c>
      <c r="Q175" s="18">
        <f>N175*Входы!$C$55/12</f>
        <v>70</v>
      </c>
      <c r="R175" s="8">
        <f>N175*Входы!$C$75</f>
        <v>875000</v>
      </c>
      <c r="S175" s="8">
        <f>J175*Входы!$C$77</f>
        <v>20000</v>
      </c>
      <c r="T17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5" s="8">
        <f>Входы!$C$94*Входы!$C$153*Входы!$C$95</f>
        <v>48750</v>
      </c>
      <c r="V175" s="8">
        <f>Входы!$C$154</f>
        <v>10000</v>
      </c>
      <c r="W175" s="8">
        <f>0</f>
        <v>0</v>
      </c>
      <c r="X175" s="8">
        <f>I175*Входы!$C$40*Входы!$C$81</f>
        <v>25000</v>
      </c>
      <c r="Y175" s="8">
        <f>J175*(Входы!$C$80*Входы!$C$81+Входы!$C$82)</f>
        <v>16250</v>
      </c>
      <c r="Z175" s="8">
        <f>J175*Входы!$C$96*Входы!$C$75*12</f>
        <v>7500</v>
      </c>
      <c r="AA175" s="8">
        <f>N175*Входы!$C$83</f>
        <v>175000</v>
      </c>
      <c r="AB175" s="8">
        <f t="shared" si="45"/>
        <v>570870.85</v>
      </c>
      <c r="AC175" s="8">
        <f t="shared" si="46"/>
        <v>324129.15000000002</v>
      </c>
      <c r="AD175" s="8">
        <f t="shared" si="50"/>
        <v>-8087663.4699999951</v>
      </c>
      <c r="AE175" s="18">
        <f>ROUNDUP((T175+U175+V175+W175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5" s="24" t="str">
        <f t="shared" si="47"/>
        <v>Да</v>
      </c>
      <c r="AG175" s="8">
        <f t="shared" si="48"/>
        <v>304129.15000000002</v>
      </c>
    </row>
    <row r="176" spans="1:33" ht="25.5" x14ac:dyDescent="0.25">
      <c r="A176" s="2" t="s">
        <v>657</v>
      </c>
      <c r="B176" s="12">
        <v>44</v>
      </c>
      <c r="C176" s="2" t="s">
        <v>741</v>
      </c>
      <c r="D176" s="2" t="s">
        <v>743</v>
      </c>
      <c r="E176" s="18">
        <f>Входы!$C$36</f>
        <v>80</v>
      </c>
      <c r="F176" s="18">
        <f>E176*Входы!$C$37/Входы!$C$36</f>
        <v>24</v>
      </c>
      <c r="G176" s="18">
        <f>F176*Входы!$C$38/Входы!$C$37</f>
        <v>12</v>
      </c>
      <c r="H176" s="18">
        <f>Проект!$B$25/12/Входы!$C$40</f>
        <v>5.3333333333333339</v>
      </c>
      <c r="I176" s="18">
        <f>MIN(G176,H176,(Проект!$B$26/12/Входы!$C$80)/Входы!$C$41,MAX(0,Проект!$B$27/Входы!$C$55-L176+K176)/Входы!$C$41,MAX(0,Входы!$C$22-L176)/Входы!$C$41,MAX(0,Проект!$B$23-SUM(J173:J175))/Входы!$C$41,Проект!$B$23/12/Входы!$C$41)</f>
        <v>0.5</v>
      </c>
      <c r="J176" s="18">
        <f>I176*Входы!$C$41</f>
        <v>0.25</v>
      </c>
      <c r="K176" s="18">
        <f t="shared" si="42"/>
        <v>0.25</v>
      </c>
      <c r="L176" s="18">
        <f t="shared" si="49"/>
        <v>35</v>
      </c>
      <c r="M176" s="18">
        <f t="shared" si="43"/>
        <v>35</v>
      </c>
      <c r="N176" s="18">
        <f t="shared" si="44"/>
        <v>35</v>
      </c>
      <c r="O176" s="18">
        <f>I176*Входы!$C$40</f>
        <v>10</v>
      </c>
      <c r="P176" s="18">
        <f>J176*Входы!$C$80</f>
        <v>5</v>
      </c>
      <c r="Q176" s="18">
        <f>N176*Входы!$C$55/12</f>
        <v>70</v>
      </c>
      <c r="R176" s="8">
        <f>N176*Входы!$C$75</f>
        <v>875000</v>
      </c>
      <c r="S176" s="8">
        <f>J176*Входы!$C$77</f>
        <v>20000</v>
      </c>
      <c r="T17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6" s="8">
        <f>Входы!$C$94*Входы!$C$153*Входы!$C$95</f>
        <v>48750</v>
      </c>
      <c r="V176" s="8">
        <f>Входы!$C$154</f>
        <v>10000</v>
      </c>
      <c r="W176" s="8">
        <f>0</f>
        <v>0</v>
      </c>
      <c r="X176" s="8">
        <f>I176*Входы!$C$40*Входы!$C$81</f>
        <v>25000</v>
      </c>
      <c r="Y176" s="8">
        <f>J176*(Входы!$C$80*Входы!$C$81+Входы!$C$82)</f>
        <v>16250</v>
      </c>
      <c r="Z176" s="8">
        <f>J176*Входы!$C$96*Входы!$C$75*12</f>
        <v>7500</v>
      </c>
      <c r="AA176" s="8">
        <f>N176*Входы!$C$83</f>
        <v>175000</v>
      </c>
      <c r="AB176" s="8">
        <f t="shared" si="45"/>
        <v>570870.85</v>
      </c>
      <c r="AC176" s="8">
        <f t="shared" si="46"/>
        <v>324129.15000000002</v>
      </c>
      <c r="AD176" s="8">
        <f t="shared" si="50"/>
        <v>-7763534.3199999947</v>
      </c>
      <c r="AE176" s="18">
        <f>ROUNDUP((T176+U176+V176+W176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6" s="24" t="str">
        <f t="shared" si="47"/>
        <v>Да</v>
      </c>
      <c r="AG176" s="8">
        <f t="shared" si="48"/>
        <v>304129.15000000002</v>
      </c>
    </row>
    <row r="177" spans="1:33" ht="25.5" x14ac:dyDescent="0.25">
      <c r="A177" s="2" t="s">
        <v>657</v>
      </c>
      <c r="B177" s="12">
        <v>45</v>
      </c>
      <c r="C177" s="2" t="s">
        <v>741</v>
      </c>
      <c r="D177" s="2" t="s">
        <v>743</v>
      </c>
      <c r="E177" s="18">
        <f>Входы!$C$36</f>
        <v>80</v>
      </c>
      <c r="F177" s="18">
        <f>E177*Входы!$C$37/Входы!$C$36</f>
        <v>24</v>
      </c>
      <c r="G177" s="18">
        <f>F177*Входы!$C$38/Входы!$C$37</f>
        <v>12</v>
      </c>
      <c r="H177" s="18">
        <f>Проект!$B$25/12/Входы!$C$40</f>
        <v>5.3333333333333339</v>
      </c>
      <c r="I177" s="18">
        <f>MIN(G177,H177,(Проект!$B$26/12/Входы!$C$80)/Входы!$C$41,MAX(0,Проект!$B$27/Входы!$C$55-L177+K177)/Входы!$C$41,MAX(0,Входы!$C$22-L177)/Входы!$C$41,MAX(0,Проект!$B$23-SUM(J173:J176))/Входы!$C$41,Проект!$B$23/12/Входы!$C$41)</f>
        <v>0.5</v>
      </c>
      <c r="J177" s="18">
        <f>I177*Входы!$C$41</f>
        <v>0.25</v>
      </c>
      <c r="K177" s="18">
        <f t="shared" si="42"/>
        <v>0.25</v>
      </c>
      <c r="L177" s="18">
        <f t="shared" si="49"/>
        <v>35</v>
      </c>
      <c r="M177" s="18">
        <f t="shared" si="43"/>
        <v>35</v>
      </c>
      <c r="N177" s="18">
        <f t="shared" si="44"/>
        <v>35</v>
      </c>
      <c r="O177" s="18">
        <f>I177*Входы!$C$40</f>
        <v>10</v>
      </c>
      <c r="P177" s="18">
        <f>J177*Входы!$C$80</f>
        <v>5</v>
      </c>
      <c r="Q177" s="18">
        <f>N177*Входы!$C$55/12</f>
        <v>70</v>
      </c>
      <c r="R177" s="8">
        <f>N177*Входы!$C$75</f>
        <v>875000</v>
      </c>
      <c r="S177" s="8">
        <f>J177*Входы!$C$77</f>
        <v>20000</v>
      </c>
      <c r="T17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7" s="8">
        <f>Входы!$C$94*Входы!$C$153*Входы!$C$95</f>
        <v>48750</v>
      </c>
      <c r="V177" s="8">
        <f>Входы!$C$154</f>
        <v>10000</v>
      </c>
      <c r="W177" s="8">
        <f>0</f>
        <v>0</v>
      </c>
      <c r="X177" s="8">
        <f>I177*Входы!$C$40*Входы!$C$81</f>
        <v>25000</v>
      </c>
      <c r="Y177" s="8">
        <f>J177*(Входы!$C$80*Входы!$C$81+Входы!$C$82)</f>
        <v>16250</v>
      </c>
      <c r="Z177" s="8">
        <f>J177*Входы!$C$96*Входы!$C$75*12</f>
        <v>7500</v>
      </c>
      <c r="AA177" s="8">
        <f>N177*Входы!$C$83</f>
        <v>175000</v>
      </c>
      <c r="AB177" s="8">
        <f t="shared" si="45"/>
        <v>570870.85</v>
      </c>
      <c r="AC177" s="8">
        <f t="shared" si="46"/>
        <v>324129.15000000002</v>
      </c>
      <c r="AD177" s="8">
        <f t="shared" si="50"/>
        <v>-7439405.1699999943</v>
      </c>
      <c r="AE177" s="18">
        <f>ROUNDUP((T177+U177+V177+W177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7" s="24" t="str">
        <f t="shared" si="47"/>
        <v>Да</v>
      </c>
      <c r="AG177" s="8">
        <f t="shared" si="48"/>
        <v>304129.15000000002</v>
      </c>
    </row>
    <row r="178" spans="1:33" ht="25.5" x14ac:dyDescent="0.25">
      <c r="A178" s="2" t="s">
        <v>657</v>
      </c>
      <c r="B178" s="12">
        <v>46</v>
      </c>
      <c r="C178" s="2" t="s">
        <v>741</v>
      </c>
      <c r="D178" s="2" t="s">
        <v>743</v>
      </c>
      <c r="E178" s="18">
        <f>Входы!$C$36</f>
        <v>80</v>
      </c>
      <c r="F178" s="18">
        <f>E178*Входы!$C$37/Входы!$C$36</f>
        <v>24</v>
      </c>
      <c r="G178" s="18">
        <f>F178*Входы!$C$38/Входы!$C$37</f>
        <v>12</v>
      </c>
      <c r="H178" s="18">
        <f>Проект!$B$25/12/Входы!$C$40</f>
        <v>5.3333333333333339</v>
      </c>
      <c r="I178" s="18">
        <f>MIN(G178,H178,(Проект!$B$26/12/Входы!$C$80)/Входы!$C$41,MAX(0,Проект!$B$27/Входы!$C$55-L178+K178)/Входы!$C$41,MAX(0,Входы!$C$22-L178)/Входы!$C$41,MAX(0,Проект!$B$23-SUM(J173:J177))/Входы!$C$41,Проект!$B$23/12/Входы!$C$41)</f>
        <v>0.5</v>
      </c>
      <c r="J178" s="18">
        <f>I178*Входы!$C$41</f>
        <v>0.25</v>
      </c>
      <c r="K178" s="18">
        <f t="shared" si="42"/>
        <v>0.25</v>
      </c>
      <c r="L178" s="18">
        <f t="shared" si="49"/>
        <v>35</v>
      </c>
      <c r="M178" s="18">
        <f t="shared" si="43"/>
        <v>35</v>
      </c>
      <c r="N178" s="18">
        <f t="shared" si="44"/>
        <v>35</v>
      </c>
      <c r="O178" s="18">
        <f>I178*Входы!$C$40</f>
        <v>10</v>
      </c>
      <c r="P178" s="18">
        <f>J178*Входы!$C$80</f>
        <v>5</v>
      </c>
      <c r="Q178" s="18">
        <f>N178*Входы!$C$55/12</f>
        <v>70</v>
      </c>
      <c r="R178" s="8">
        <f>N178*Входы!$C$75</f>
        <v>875000</v>
      </c>
      <c r="S178" s="8">
        <f>J178*Входы!$C$77</f>
        <v>20000</v>
      </c>
      <c r="T17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8" s="8">
        <f>Входы!$C$94*Входы!$C$153*Входы!$C$95</f>
        <v>48750</v>
      </c>
      <c r="V178" s="8">
        <f>Входы!$C$154</f>
        <v>10000</v>
      </c>
      <c r="W178" s="8">
        <f>0</f>
        <v>0</v>
      </c>
      <c r="X178" s="8">
        <f>I178*Входы!$C$40*Входы!$C$81</f>
        <v>25000</v>
      </c>
      <c r="Y178" s="8">
        <f>J178*(Входы!$C$80*Входы!$C$81+Входы!$C$82)</f>
        <v>16250</v>
      </c>
      <c r="Z178" s="8">
        <f>J178*Входы!$C$96*Входы!$C$75*12</f>
        <v>7500</v>
      </c>
      <c r="AA178" s="8">
        <f>N178*Входы!$C$83</f>
        <v>175000</v>
      </c>
      <c r="AB178" s="8">
        <f t="shared" si="45"/>
        <v>570870.85</v>
      </c>
      <c r="AC178" s="8">
        <f t="shared" si="46"/>
        <v>324129.15000000002</v>
      </c>
      <c r="AD178" s="8">
        <f t="shared" si="50"/>
        <v>-7115276.019999994</v>
      </c>
      <c r="AE178" s="18">
        <f>ROUNDUP((T178+U178+V178+W178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8" s="24" t="str">
        <f t="shared" si="47"/>
        <v>Да</v>
      </c>
      <c r="AG178" s="8">
        <f t="shared" si="48"/>
        <v>304129.15000000002</v>
      </c>
    </row>
    <row r="179" spans="1:33" ht="25.5" x14ac:dyDescent="0.25">
      <c r="A179" s="2" t="s">
        <v>657</v>
      </c>
      <c r="B179" s="12">
        <v>47</v>
      </c>
      <c r="C179" s="2" t="s">
        <v>741</v>
      </c>
      <c r="D179" s="2" t="s">
        <v>743</v>
      </c>
      <c r="E179" s="18">
        <f>Входы!$C$36</f>
        <v>80</v>
      </c>
      <c r="F179" s="18">
        <f>E179*Входы!$C$37/Входы!$C$36</f>
        <v>24</v>
      </c>
      <c r="G179" s="18">
        <f>F179*Входы!$C$38/Входы!$C$37</f>
        <v>12</v>
      </c>
      <c r="H179" s="18">
        <f>Проект!$B$25/12/Входы!$C$40</f>
        <v>5.3333333333333339</v>
      </c>
      <c r="I179" s="18">
        <f>MIN(G179,H179,(Проект!$B$26/12/Входы!$C$80)/Входы!$C$41,MAX(0,Проект!$B$27/Входы!$C$55-L179+K179)/Входы!$C$41,MAX(0,Входы!$C$22-L179)/Входы!$C$41,MAX(0,Проект!$B$23-SUM(J173:J178))/Входы!$C$41,Проект!$B$23/12/Входы!$C$41)</f>
        <v>0.5</v>
      </c>
      <c r="J179" s="18">
        <f>I179*Входы!$C$41</f>
        <v>0.25</v>
      </c>
      <c r="K179" s="18">
        <f t="shared" si="42"/>
        <v>0.25</v>
      </c>
      <c r="L179" s="18">
        <f t="shared" si="49"/>
        <v>35</v>
      </c>
      <c r="M179" s="18">
        <f t="shared" si="43"/>
        <v>35</v>
      </c>
      <c r="N179" s="18">
        <f t="shared" si="44"/>
        <v>35</v>
      </c>
      <c r="O179" s="18">
        <f>I179*Входы!$C$40</f>
        <v>10</v>
      </c>
      <c r="P179" s="18">
        <f>J179*Входы!$C$80</f>
        <v>5</v>
      </c>
      <c r="Q179" s="18">
        <f>N179*Входы!$C$55/12</f>
        <v>70</v>
      </c>
      <c r="R179" s="8">
        <f>N179*Входы!$C$75</f>
        <v>875000</v>
      </c>
      <c r="S179" s="8">
        <f>J179*Входы!$C$77</f>
        <v>20000</v>
      </c>
      <c r="T17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79" s="8">
        <f>Входы!$C$94*Входы!$C$153*Входы!$C$95</f>
        <v>48750</v>
      </c>
      <c r="V179" s="8">
        <f>Входы!$C$154</f>
        <v>10000</v>
      </c>
      <c r="W179" s="8">
        <f>0</f>
        <v>0</v>
      </c>
      <c r="X179" s="8">
        <f>I179*Входы!$C$40*Входы!$C$81</f>
        <v>25000</v>
      </c>
      <c r="Y179" s="8">
        <f>J179*(Входы!$C$80*Входы!$C$81+Входы!$C$82)</f>
        <v>16250</v>
      </c>
      <c r="Z179" s="8">
        <f>J179*Входы!$C$96*Входы!$C$75*12</f>
        <v>7500</v>
      </c>
      <c r="AA179" s="8">
        <f>N179*Входы!$C$83</f>
        <v>175000</v>
      </c>
      <c r="AB179" s="8">
        <f t="shared" si="45"/>
        <v>570870.85</v>
      </c>
      <c r="AC179" s="8">
        <f t="shared" si="46"/>
        <v>324129.15000000002</v>
      </c>
      <c r="AD179" s="8">
        <f t="shared" si="50"/>
        <v>-6791146.8699999936</v>
      </c>
      <c r="AE179" s="18">
        <f>ROUNDUP((T179+U179+V179+W179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79" s="24" t="str">
        <f t="shared" si="47"/>
        <v>Да</v>
      </c>
      <c r="AG179" s="8">
        <f t="shared" si="48"/>
        <v>304129.15000000002</v>
      </c>
    </row>
    <row r="180" spans="1:33" ht="25.5" x14ac:dyDescent="0.25">
      <c r="A180" s="2" t="s">
        <v>657</v>
      </c>
      <c r="B180" s="12">
        <v>48</v>
      </c>
      <c r="C180" s="2" t="s">
        <v>741</v>
      </c>
      <c r="D180" s="2" t="s">
        <v>743</v>
      </c>
      <c r="E180" s="18">
        <f>Входы!$C$36</f>
        <v>80</v>
      </c>
      <c r="F180" s="18">
        <f>E180*Входы!$C$37/Входы!$C$36</f>
        <v>24</v>
      </c>
      <c r="G180" s="18">
        <f>F180*Входы!$C$38/Входы!$C$37</f>
        <v>12</v>
      </c>
      <c r="H180" s="18">
        <f>Проект!$B$25/12/Входы!$C$40</f>
        <v>5.3333333333333339</v>
      </c>
      <c r="I180" s="18">
        <f>MIN(G180,H180,(Проект!$B$26/12/Входы!$C$80)/Входы!$C$41,MAX(0,Проект!$B$27/Входы!$C$55-L180+K180)/Входы!$C$41,MAX(0,Входы!$C$22-L180)/Входы!$C$41,MAX(0,Проект!$B$23-SUM(J173:J179))/Входы!$C$41,Проект!$B$23/12/Входы!$C$41)</f>
        <v>0.5</v>
      </c>
      <c r="J180" s="18">
        <f>I180*Входы!$C$41</f>
        <v>0.25</v>
      </c>
      <c r="K180" s="18">
        <f t="shared" si="42"/>
        <v>0.25</v>
      </c>
      <c r="L180" s="18">
        <f t="shared" si="49"/>
        <v>35</v>
      </c>
      <c r="M180" s="18">
        <f t="shared" si="43"/>
        <v>35</v>
      </c>
      <c r="N180" s="18">
        <f t="shared" si="44"/>
        <v>35</v>
      </c>
      <c r="O180" s="18">
        <f>I180*Входы!$C$40</f>
        <v>10</v>
      </c>
      <c r="P180" s="18">
        <f>J180*Входы!$C$80</f>
        <v>5</v>
      </c>
      <c r="Q180" s="18">
        <f>N180*Входы!$C$55/12</f>
        <v>70</v>
      </c>
      <c r="R180" s="8">
        <f>N180*Входы!$C$75</f>
        <v>875000</v>
      </c>
      <c r="S180" s="8">
        <f>J180*Входы!$C$77</f>
        <v>20000</v>
      </c>
      <c r="T18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0" s="8">
        <f>Входы!$C$94*Входы!$C$153*Входы!$C$95</f>
        <v>48750</v>
      </c>
      <c r="V180" s="8">
        <f>Входы!$C$154</f>
        <v>10000</v>
      </c>
      <c r="W180" s="8">
        <f>0</f>
        <v>0</v>
      </c>
      <c r="X180" s="8">
        <f>I180*Входы!$C$40*Входы!$C$81</f>
        <v>25000</v>
      </c>
      <c r="Y180" s="8">
        <f>J180*(Входы!$C$80*Входы!$C$81+Входы!$C$82)</f>
        <v>16250</v>
      </c>
      <c r="Z180" s="8">
        <f>J180*Входы!$C$96*Входы!$C$75*12</f>
        <v>7500</v>
      </c>
      <c r="AA180" s="8">
        <f>N180*Входы!$C$83</f>
        <v>175000</v>
      </c>
      <c r="AB180" s="8">
        <f t="shared" si="45"/>
        <v>570870.85</v>
      </c>
      <c r="AC180" s="8">
        <f t="shared" si="46"/>
        <v>324129.15000000002</v>
      </c>
      <c r="AD180" s="8">
        <f t="shared" si="50"/>
        <v>-6467017.7199999932</v>
      </c>
      <c r="AE180" s="18">
        <f>ROUNDUP((T180+U180+V180+W180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0" s="24" t="str">
        <f t="shared" si="47"/>
        <v>Да</v>
      </c>
      <c r="AG180" s="8">
        <f t="shared" si="48"/>
        <v>304129.15000000002</v>
      </c>
    </row>
    <row r="181" spans="1:33" ht="25.5" x14ac:dyDescent="0.25">
      <c r="A181" s="2" t="s">
        <v>657</v>
      </c>
      <c r="B181" s="12">
        <v>49</v>
      </c>
      <c r="C181" s="2" t="s">
        <v>741</v>
      </c>
      <c r="D181" s="2" t="s">
        <v>743</v>
      </c>
      <c r="E181" s="18">
        <f>Входы!$C$36</f>
        <v>80</v>
      </c>
      <c r="F181" s="18">
        <f>E181*Входы!$C$37/Входы!$C$36</f>
        <v>24</v>
      </c>
      <c r="G181" s="18">
        <f>F181*Входы!$C$38/Входы!$C$37</f>
        <v>12</v>
      </c>
      <c r="H181" s="18">
        <f>Проект!$B$25/12/Входы!$C$40</f>
        <v>5.3333333333333339</v>
      </c>
      <c r="I181" s="18">
        <f>MIN(G181,H181,(Проект!$B$26/12/Входы!$C$80)/Входы!$C$41,MAX(0,Проект!$B$27/Входы!$C$55-L181+K181)/Входы!$C$41,MAX(0,Входы!$C$22-L181)/Входы!$C$41,MAX(0,Проект!$B$23-SUM(J173:J180))/Входы!$C$41,Проект!$B$23/12/Входы!$C$41)</f>
        <v>0.5</v>
      </c>
      <c r="J181" s="18">
        <f>I181*Входы!$C$41</f>
        <v>0.25</v>
      </c>
      <c r="K181" s="18">
        <f t="shared" si="42"/>
        <v>0.25</v>
      </c>
      <c r="L181" s="18">
        <f t="shared" si="49"/>
        <v>35</v>
      </c>
      <c r="M181" s="18">
        <f t="shared" si="43"/>
        <v>35</v>
      </c>
      <c r="N181" s="18">
        <f t="shared" si="44"/>
        <v>35</v>
      </c>
      <c r="O181" s="18">
        <f>I181*Входы!$C$40</f>
        <v>10</v>
      </c>
      <c r="P181" s="18">
        <f>J181*Входы!$C$80</f>
        <v>5</v>
      </c>
      <c r="Q181" s="18">
        <f>N181*Входы!$C$55/12</f>
        <v>70</v>
      </c>
      <c r="R181" s="8">
        <f>N181*Входы!$C$75</f>
        <v>875000</v>
      </c>
      <c r="S181" s="8">
        <f>J181*Входы!$C$77</f>
        <v>20000</v>
      </c>
      <c r="T18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1" s="8">
        <f>Входы!$C$94*Входы!$C$153*Входы!$C$95</f>
        <v>48750</v>
      </c>
      <c r="V181" s="8">
        <f>Входы!$C$154</f>
        <v>10000</v>
      </c>
      <c r="W181" s="8">
        <f>0</f>
        <v>0</v>
      </c>
      <c r="X181" s="8">
        <f>I181*Входы!$C$40*Входы!$C$81</f>
        <v>25000</v>
      </c>
      <c r="Y181" s="8">
        <f>J181*(Входы!$C$80*Входы!$C$81+Входы!$C$82)</f>
        <v>16250</v>
      </c>
      <c r="Z181" s="8">
        <f>J181*Входы!$C$96*Входы!$C$75*12</f>
        <v>7500</v>
      </c>
      <c r="AA181" s="8">
        <f>N181*Входы!$C$83</f>
        <v>175000</v>
      </c>
      <c r="AB181" s="8">
        <f t="shared" si="45"/>
        <v>570870.85</v>
      </c>
      <c r="AC181" s="8">
        <f t="shared" si="46"/>
        <v>324129.15000000002</v>
      </c>
      <c r="AD181" s="8">
        <f t="shared" si="50"/>
        <v>-6142888.5699999928</v>
      </c>
      <c r="AE181" s="18">
        <f>ROUNDUP((T181+U181+V181+W181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1" s="24" t="str">
        <f t="shared" si="47"/>
        <v>Да</v>
      </c>
      <c r="AG181" s="8">
        <f t="shared" si="48"/>
        <v>304129.15000000002</v>
      </c>
    </row>
    <row r="182" spans="1:33" ht="25.5" x14ac:dyDescent="0.25">
      <c r="A182" s="2" t="s">
        <v>657</v>
      </c>
      <c r="B182" s="12">
        <v>50</v>
      </c>
      <c r="C182" s="2" t="s">
        <v>741</v>
      </c>
      <c r="D182" s="2" t="s">
        <v>743</v>
      </c>
      <c r="E182" s="18">
        <f>Входы!$C$36</f>
        <v>80</v>
      </c>
      <c r="F182" s="18">
        <f>E182*Входы!$C$37/Входы!$C$36</f>
        <v>24</v>
      </c>
      <c r="G182" s="18">
        <f>F182*Входы!$C$38/Входы!$C$37</f>
        <v>12</v>
      </c>
      <c r="H182" s="18">
        <f>Проект!$B$25/12/Входы!$C$40</f>
        <v>5.3333333333333339</v>
      </c>
      <c r="I182" s="18">
        <f>MIN(G182,H182,(Проект!$B$26/12/Входы!$C$80)/Входы!$C$41,MAX(0,Проект!$B$27/Входы!$C$55-L182+K182)/Входы!$C$41,MAX(0,Входы!$C$22-L182)/Входы!$C$41,MAX(0,Проект!$B$23-SUM(J173:J181))/Входы!$C$41,Проект!$B$23/12/Входы!$C$41)</f>
        <v>0.5</v>
      </c>
      <c r="J182" s="18">
        <f>I182*Входы!$C$41</f>
        <v>0.25</v>
      </c>
      <c r="K182" s="18">
        <f t="shared" si="42"/>
        <v>0.25</v>
      </c>
      <c r="L182" s="18">
        <f t="shared" si="49"/>
        <v>35</v>
      </c>
      <c r="M182" s="18">
        <f t="shared" si="43"/>
        <v>35</v>
      </c>
      <c r="N182" s="18">
        <f t="shared" si="44"/>
        <v>35</v>
      </c>
      <c r="O182" s="18">
        <f>I182*Входы!$C$40</f>
        <v>10</v>
      </c>
      <c r="P182" s="18">
        <f>J182*Входы!$C$80</f>
        <v>5</v>
      </c>
      <c r="Q182" s="18">
        <f>N182*Входы!$C$55/12</f>
        <v>70</v>
      </c>
      <c r="R182" s="8">
        <f>N182*Входы!$C$75</f>
        <v>875000</v>
      </c>
      <c r="S182" s="8">
        <f>J182*Входы!$C$77</f>
        <v>20000</v>
      </c>
      <c r="T18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2" s="8">
        <f>Входы!$C$94*Входы!$C$153*Входы!$C$95</f>
        <v>48750</v>
      </c>
      <c r="V182" s="8">
        <f>Входы!$C$154</f>
        <v>10000</v>
      </c>
      <c r="W182" s="8">
        <f>0</f>
        <v>0</v>
      </c>
      <c r="X182" s="8">
        <f>I182*Входы!$C$40*Входы!$C$81</f>
        <v>25000</v>
      </c>
      <c r="Y182" s="8">
        <f>J182*(Входы!$C$80*Входы!$C$81+Входы!$C$82)</f>
        <v>16250</v>
      </c>
      <c r="Z182" s="8">
        <f>J182*Входы!$C$96*Входы!$C$75*12</f>
        <v>7500</v>
      </c>
      <c r="AA182" s="8">
        <f>N182*Входы!$C$83</f>
        <v>175000</v>
      </c>
      <c r="AB182" s="8">
        <f t="shared" si="45"/>
        <v>570870.85</v>
      </c>
      <c r="AC182" s="8">
        <f t="shared" si="46"/>
        <v>324129.15000000002</v>
      </c>
      <c r="AD182" s="8">
        <f t="shared" si="50"/>
        <v>-5818759.4199999925</v>
      </c>
      <c r="AE182" s="18">
        <f>ROUNDUP((T182+U182+V182+W182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2" s="24" t="str">
        <f t="shared" si="47"/>
        <v>Да</v>
      </c>
      <c r="AG182" s="8">
        <f t="shared" si="48"/>
        <v>304129.15000000002</v>
      </c>
    </row>
    <row r="183" spans="1:33" ht="25.5" x14ac:dyDescent="0.25">
      <c r="A183" s="2" t="s">
        <v>657</v>
      </c>
      <c r="B183" s="12">
        <v>51</v>
      </c>
      <c r="C183" s="2" t="s">
        <v>741</v>
      </c>
      <c r="D183" s="2" t="s">
        <v>743</v>
      </c>
      <c r="E183" s="18">
        <f>Входы!$C$36</f>
        <v>80</v>
      </c>
      <c r="F183" s="18">
        <f>E183*Входы!$C$37/Входы!$C$36</f>
        <v>24</v>
      </c>
      <c r="G183" s="18">
        <f>F183*Входы!$C$38/Входы!$C$37</f>
        <v>12</v>
      </c>
      <c r="H183" s="18">
        <f>Проект!$B$25/12/Входы!$C$40</f>
        <v>5.3333333333333339</v>
      </c>
      <c r="I183" s="18">
        <f>MIN(G183,H183,(Проект!$B$26/12/Входы!$C$80)/Входы!$C$41,MAX(0,Проект!$B$27/Входы!$C$55-L183+K183)/Входы!$C$41,MAX(0,Входы!$C$22-L183)/Входы!$C$41,MAX(0,Проект!$B$23-SUM(J173:J182))/Входы!$C$41,Проект!$B$23/12/Входы!$C$41)</f>
        <v>0.5</v>
      </c>
      <c r="J183" s="18">
        <f>I183*Входы!$C$41</f>
        <v>0.25</v>
      </c>
      <c r="K183" s="18">
        <f t="shared" si="42"/>
        <v>0.25</v>
      </c>
      <c r="L183" s="18">
        <f t="shared" si="49"/>
        <v>35</v>
      </c>
      <c r="M183" s="18">
        <f t="shared" si="43"/>
        <v>35</v>
      </c>
      <c r="N183" s="18">
        <f t="shared" si="44"/>
        <v>35</v>
      </c>
      <c r="O183" s="18">
        <f>I183*Входы!$C$40</f>
        <v>10</v>
      </c>
      <c r="P183" s="18">
        <f>J183*Входы!$C$80</f>
        <v>5</v>
      </c>
      <c r="Q183" s="18">
        <f>N183*Входы!$C$55/12</f>
        <v>70</v>
      </c>
      <c r="R183" s="8">
        <f>N183*Входы!$C$75</f>
        <v>875000</v>
      </c>
      <c r="S183" s="8">
        <f>J183*Входы!$C$77</f>
        <v>20000</v>
      </c>
      <c r="T18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3" s="8">
        <f>Входы!$C$94*Входы!$C$153*Входы!$C$95</f>
        <v>48750</v>
      </c>
      <c r="V183" s="8">
        <f>Входы!$C$154</f>
        <v>10000</v>
      </c>
      <c r="W183" s="8">
        <f>0</f>
        <v>0</v>
      </c>
      <c r="X183" s="8">
        <f>I183*Входы!$C$40*Входы!$C$81</f>
        <v>25000</v>
      </c>
      <c r="Y183" s="8">
        <f>J183*(Входы!$C$80*Входы!$C$81+Входы!$C$82)</f>
        <v>16250</v>
      </c>
      <c r="Z183" s="8">
        <f>J183*Входы!$C$96*Входы!$C$75*12</f>
        <v>7500</v>
      </c>
      <c r="AA183" s="8">
        <f>N183*Входы!$C$83</f>
        <v>175000</v>
      </c>
      <c r="AB183" s="8">
        <f t="shared" si="45"/>
        <v>570870.85</v>
      </c>
      <c r="AC183" s="8">
        <f t="shared" si="46"/>
        <v>324129.15000000002</v>
      </c>
      <c r="AD183" s="8">
        <f t="shared" si="50"/>
        <v>-5494630.2699999921</v>
      </c>
      <c r="AE183" s="18">
        <f>ROUNDUP((T183+U183+V183+W183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3" s="24" t="str">
        <f t="shared" si="47"/>
        <v>Да</v>
      </c>
      <c r="AG183" s="8">
        <f t="shared" si="48"/>
        <v>304129.15000000002</v>
      </c>
    </row>
    <row r="184" spans="1:33" ht="25.5" x14ac:dyDescent="0.25">
      <c r="A184" s="2" t="s">
        <v>657</v>
      </c>
      <c r="B184" s="12">
        <v>52</v>
      </c>
      <c r="C184" s="2" t="s">
        <v>741</v>
      </c>
      <c r="D184" s="2" t="s">
        <v>743</v>
      </c>
      <c r="E184" s="18">
        <f>Входы!$C$36</f>
        <v>80</v>
      </c>
      <c r="F184" s="18">
        <f>E184*Входы!$C$37/Входы!$C$36</f>
        <v>24</v>
      </c>
      <c r="G184" s="18">
        <f>F184*Входы!$C$38/Входы!$C$37</f>
        <v>12</v>
      </c>
      <c r="H184" s="18">
        <f>Проект!$B$25/12/Входы!$C$40</f>
        <v>5.3333333333333339</v>
      </c>
      <c r="I184" s="18">
        <f>MIN(G184,H184,(Проект!$B$26/12/Входы!$C$80)/Входы!$C$41,MAX(0,Проект!$B$27/Входы!$C$55-L184+K184)/Входы!$C$41,MAX(0,Входы!$C$22-L184)/Входы!$C$41,MAX(0,Проект!$B$23-SUM(J173:J183))/Входы!$C$41,Проект!$B$23/12/Входы!$C$41)</f>
        <v>0.5</v>
      </c>
      <c r="J184" s="18">
        <f>I184*Входы!$C$41</f>
        <v>0.25</v>
      </c>
      <c r="K184" s="18">
        <f t="shared" si="42"/>
        <v>0.25</v>
      </c>
      <c r="L184" s="18">
        <f t="shared" si="49"/>
        <v>35</v>
      </c>
      <c r="M184" s="18">
        <f t="shared" si="43"/>
        <v>35</v>
      </c>
      <c r="N184" s="18">
        <f t="shared" si="44"/>
        <v>35</v>
      </c>
      <c r="O184" s="18">
        <f>I184*Входы!$C$40</f>
        <v>10</v>
      </c>
      <c r="P184" s="18">
        <f>J184*Входы!$C$80</f>
        <v>5</v>
      </c>
      <c r="Q184" s="18">
        <f>N184*Входы!$C$55/12</f>
        <v>70</v>
      </c>
      <c r="R184" s="8">
        <f>N184*Входы!$C$75</f>
        <v>875000</v>
      </c>
      <c r="S184" s="8">
        <f>J184*Входы!$C$77</f>
        <v>20000</v>
      </c>
      <c r="T18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4" s="8">
        <f>Входы!$C$94*Входы!$C$153*Входы!$C$95</f>
        <v>48750</v>
      </c>
      <c r="V184" s="8">
        <f>Входы!$C$154</f>
        <v>10000</v>
      </c>
      <c r="W184" s="8">
        <f>0</f>
        <v>0</v>
      </c>
      <c r="X184" s="8">
        <f>I184*Входы!$C$40*Входы!$C$81</f>
        <v>25000</v>
      </c>
      <c r="Y184" s="8">
        <f>J184*(Входы!$C$80*Входы!$C$81+Входы!$C$82)</f>
        <v>16250</v>
      </c>
      <c r="Z184" s="8">
        <f>J184*Входы!$C$96*Входы!$C$75*12</f>
        <v>7500</v>
      </c>
      <c r="AA184" s="8">
        <f>N184*Входы!$C$83</f>
        <v>175000</v>
      </c>
      <c r="AB184" s="8">
        <f t="shared" si="45"/>
        <v>570870.85</v>
      </c>
      <c r="AC184" s="8">
        <f t="shared" si="46"/>
        <v>324129.15000000002</v>
      </c>
      <c r="AD184" s="8">
        <f t="shared" si="50"/>
        <v>-5170501.1199999917</v>
      </c>
      <c r="AE184" s="18">
        <f>ROUNDUP((T184+U184+V184+W184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4" s="24" t="str">
        <f t="shared" si="47"/>
        <v>Да</v>
      </c>
      <c r="AG184" s="8">
        <f t="shared" si="48"/>
        <v>304129.15000000002</v>
      </c>
    </row>
    <row r="185" spans="1:33" ht="25.5" x14ac:dyDescent="0.25">
      <c r="A185" s="2" t="s">
        <v>657</v>
      </c>
      <c r="B185" s="12">
        <v>53</v>
      </c>
      <c r="C185" s="2" t="s">
        <v>742</v>
      </c>
      <c r="D185" s="2" t="s">
        <v>743</v>
      </c>
      <c r="E185" s="18">
        <f>Входы!$C$36</f>
        <v>80</v>
      </c>
      <c r="F185" s="18">
        <f>E185*Входы!$C$37/Входы!$C$36</f>
        <v>24</v>
      </c>
      <c r="G185" s="18">
        <f>F185*Входы!$C$38/Входы!$C$37</f>
        <v>12</v>
      </c>
      <c r="H185" s="18">
        <f>Проект!$B$25/12/Входы!$C$40</f>
        <v>5.3333333333333339</v>
      </c>
      <c r="I185" s="18">
        <f>MIN(G185,H185,(Проект!$B$26/12/Входы!$C$80)/Входы!$C$41,MAX(0,Проект!$B$27/Входы!$C$55-L185+K185)/Входы!$C$41,MAX(0,Входы!$C$22-L185)/Входы!$C$41,MAX(0,Проект!$B$23-0)/Входы!$C$41,Проект!$B$23/12/Входы!$C$41)</f>
        <v>5.333333333333333</v>
      </c>
      <c r="J185" s="18">
        <f>I185*Входы!$C$41</f>
        <v>2.6666666666666665</v>
      </c>
      <c r="K185" s="18">
        <f t="shared" si="42"/>
        <v>2.6666666666666665</v>
      </c>
      <c r="L185" s="18">
        <f t="shared" si="49"/>
        <v>35</v>
      </c>
      <c r="M185" s="18">
        <f t="shared" si="43"/>
        <v>35</v>
      </c>
      <c r="N185" s="18">
        <f t="shared" si="44"/>
        <v>35</v>
      </c>
      <c r="O185" s="18">
        <f>I185*Входы!$C$40</f>
        <v>106.66666666666666</v>
      </c>
      <c r="P185" s="18">
        <f>J185*Входы!$C$80</f>
        <v>53.333333333333329</v>
      </c>
      <c r="Q185" s="18">
        <f>N185*Входы!$C$55/12</f>
        <v>70</v>
      </c>
      <c r="R185" s="8">
        <f>N185*Входы!$C$75</f>
        <v>875000</v>
      </c>
      <c r="S185" s="8">
        <f>J185*Входы!$C$77</f>
        <v>213333.33333333331</v>
      </c>
      <c r="T18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5" s="8">
        <f>Входы!$C$94*Входы!$C$153*Входы!$C$95</f>
        <v>48750</v>
      </c>
      <c r="V185" s="8">
        <f>Входы!$C$154</f>
        <v>10000</v>
      </c>
      <c r="W185" s="8">
        <f>0</f>
        <v>0</v>
      </c>
      <c r="X185" s="8">
        <f>I185*Входы!$C$40*Входы!$C$81</f>
        <v>266666.66666666663</v>
      </c>
      <c r="Y185" s="8">
        <f>J185*(Входы!$C$80*Входы!$C$81+Входы!$C$82)</f>
        <v>173333.33333333331</v>
      </c>
      <c r="Z185" s="8">
        <f>J185*Входы!$C$96*Входы!$C$75*12</f>
        <v>80000</v>
      </c>
      <c r="AA185" s="8">
        <f>N185*Входы!$C$83</f>
        <v>175000</v>
      </c>
      <c r="AB185" s="8">
        <f t="shared" si="45"/>
        <v>1042120.8499999999</v>
      </c>
      <c r="AC185" s="8">
        <f t="shared" si="46"/>
        <v>46212.483333333395</v>
      </c>
      <c r="AD185" s="8">
        <f t="shared" si="50"/>
        <v>-5124288.6366666583</v>
      </c>
      <c r="AE185" s="18">
        <f>ROUNDUP((T185+U185+V185+W185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5" s="24" t="str">
        <f t="shared" si="47"/>
        <v>Да</v>
      </c>
      <c r="AG185" s="8">
        <f t="shared" si="48"/>
        <v>-167120.84999999986</v>
      </c>
    </row>
    <row r="186" spans="1:33" ht="25.5" x14ac:dyDescent="0.25">
      <c r="A186" s="2" t="s">
        <v>657</v>
      </c>
      <c r="B186" s="12">
        <v>54</v>
      </c>
      <c r="C186" s="2" t="s">
        <v>742</v>
      </c>
      <c r="D186" s="2" t="s">
        <v>743</v>
      </c>
      <c r="E186" s="18">
        <f>Входы!$C$36</f>
        <v>80</v>
      </c>
      <c r="F186" s="18">
        <f>E186*Входы!$C$37/Входы!$C$36</f>
        <v>24</v>
      </c>
      <c r="G186" s="18">
        <f>F186*Входы!$C$38/Входы!$C$37</f>
        <v>12</v>
      </c>
      <c r="H186" s="18">
        <f>Проект!$B$25/12/Входы!$C$40</f>
        <v>5.3333333333333339</v>
      </c>
      <c r="I186" s="18">
        <f>MIN(G186,H186,(Проект!$B$26/12/Входы!$C$80)/Входы!$C$41,MAX(0,Проект!$B$27/Входы!$C$55-L186+K186)/Входы!$C$41,MAX(0,Входы!$C$22-L186)/Входы!$C$41,MAX(0,Проект!$B$23-SUM(J185:J185))/Входы!$C$41,Проект!$B$23/12/Входы!$C$41)</f>
        <v>5.333333333333333</v>
      </c>
      <c r="J186" s="18">
        <f>I186*Входы!$C$41</f>
        <v>2.6666666666666665</v>
      </c>
      <c r="K186" s="18">
        <f t="shared" si="42"/>
        <v>2.6666666666666665</v>
      </c>
      <c r="L186" s="18">
        <f t="shared" si="49"/>
        <v>35</v>
      </c>
      <c r="M186" s="18">
        <f t="shared" si="43"/>
        <v>35</v>
      </c>
      <c r="N186" s="18">
        <f t="shared" si="44"/>
        <v>35</v>
      </c>
      <c r="O186" s="18">
        <f>I186*Входы!$C$40</f>
        <v>106.66666666666666</v>
      </c>
      <c r="P186" s="18">
        <f>J186*Входы!$C$80</f>
        <v>53.333333333333329</v>
      </c>
      <c r="Q186" s="18">
        <f>N186*Входы!$C$55/12</f>
        <v>70</v>
      </c>
      <c r="R186" s="8">
        <f>N186*Входы!$C$75</f>
        <v>875000</v>
      </c>
      <c r="S186" s="8">
        <f>J186*Входы!$C$77</f>
        <v>213333.33333333331</v>
      </c>
      <c r="T18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6" s="8">
        <f>Входы!$C$94*Входы!$C$153*Входы!$C$95</f>
        <v>48750</v>
      </c>
      <c r="V186" s="8">
        <f>Входы!$C$154</f>
        <v>10000</v>
      </c>
      <c r="W186" s="8">
        <f>0</f>
        <v>0</v>
      </c>
      <c r="X186" s="8">
        <f>I186*Входы!$C$40*Входы!$C$81</f>
        <v>266666.66666666663</v>
      </c>
      <c r="Y186" s="8">
        <f>J186*(Входы!$C$80*Входы!$C$81+Входы!$C$82)</f>
        <v>173333.33333333331</v>
      </c>
      <c r="Z186" s="8">
        <f>J186*Входы!$C$96*Входы!$C$75*12</f>
        <v>80000</v>
      </c>
      <c r="AA186" s="8">
        <f>N186*Входы!$C$83</f>
        <v>175000</v>
      </c>
      <c r="AB186" s="8">
        <f t="shared" si="45"/>
        <v>1042120.8499999999</v>
      </c>
      <c r="AC186" s="8">
        <f t="shared" si="46"/>
        <v>46212.483333333395</v>
      </c>
      <c r="AD186" s="8">
        <f t="shared" si="50"/>
        <v>-5078076.1533333249</v>
      </c>
      <c r="AE186" s="18">
        <f>ROUNDUP((T186+U186+V186+W186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6" s="24" t="str">
        <f t="shared" si="47"/>
        <v>Да</v>
      </c>
      <c r="AG186" s="8">
        <f t="shared" si="48"/>
        <v>-167120.84999999986</v>
      </c>
    </row>
    <row r="187" spans="1:33" ht="25.5" x14ac:dyDescent="0.25">
      <c r="A187" s="2" t="s">
        <v>657</v>
      </c>
      <c r="B187" s="12">
        <v>55</v>
      </c>
      <c r="C187" s="2" t="s">
        <v>742</v>
      </c>
      <c r="D187" s="2" t="s">
        <v>743</v>
      </c>
      <c r="E187" s="18">
        <f>Входы!$C$36</f>
        <v>80</v>
      </c>
      <c r="F187" s="18">
        <f>E187*Входы!$C$37/Входы!$C$36</f>
        <v>24</v>
      </c>
      <c r="G187" s="18">
        <f>F187*Входы!$C$38/Входы!$C$37</f>
        <v>12</v>
      </c>
      <c r="H187" s="18">
        <f>Проект!$B$25/12/Входы!$C$40</f>
        <v>5.3333333333333339</v>
      </c>
      <c r="I187" s="18">
        <f>MIN(G187,H187,(Проект!$B$26/12/Входы!$C$80)/Входы!$C$41,MAX(0,Проект!$B$27/Входы!$C$55-L187+K187)/Входы!$C$41,MAX(0,Входы!$C$22-L187)/Входы!$C$41,MAX(0,Проект!$B$23-SUM(J185:J186))/Входы!$C$41,Проект!$B$23/12/Входы!$C$41)</f>
        <v>5.333333333333333</v>
      </c>
      <c r="J187" s="18">
        <f>I187*Входы!$C$41</f>
        <v>2.6666666666666665</v>
      </c>
      <c r="K187" s="18">
        <f t="shared" si="42"/>
        <v>2.6666666666666665</v>
      </c>
      <c r="L187" s="18">
        <f t="shared" si="49"/>
        <v>35</v>
      </c>
      <c r="M187" s="18">
        <f t="shared" si="43"/>
        <v>35</v>
      </c>
      <c r="N187" s="18">
        <f t="shared" si="44"/>
        <v>35</v>
      </c>
      <c r="O187" s="18">
        <f>I187*Входы!$C$40</f>
        <v>106.66666666666666</v>
      </c>
      <c r="P187" s="18">
        <f>J187*Входы!$C$80</f>
        <v>53.333333333333329</v>
      </c>
      <c r="Q187" s="18">
        <f>N187*Входы!$C$55/12</f>
        <v>70</v>
      </c>
      <c r="R187" s="8">
        <f>N187*Входы!$C$75</f>
        <v>875000</v>
      </c>
      <c r="S187" s="8">
        <f>J187*Входы!$C$77</f>
        <v>213333.33333333331</v>
      </c>
      <c r="T187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7" s="8">
        <f>Входы!$C$94*Входы!$C$153*Входы!$C$95</f>
        <v>48750</v>
      </c>
      <c r="V187" s="8">
        <f>Входы!$C$154</f>
        <v>10000</v>
      </c>
      <c r="W187" s="8">
        <f>0</f>
        <v>0</v>
      </c>
      <c r="X187" s="8">
        <f>I187*Входы!$C$40*Входы!$C$81</f>
        <v>266666.66666666663</v>
      </c>
      <c r="Y187" s="8">
        <f>J187*(Входы!$C$80*Входы!$C$81+Входы!$C$82)</f>
        <v>173333.33333333331</v>
      </c>
      <c r="Z187" s="8">
        <f>J187*Входы!$C$96*Входы!$C$75*12</f>
        <v>80000</v>
      </c>
      <c r="AA187" s="8">
        <f>N187*Входы!$C$83</f>
        <v>175000</v>
      </c>
      <c r="AB187" s="8">
        <f t="shared" si="45"/>
        <v>1042120.8499999999</v>
      </c>
      <c r="AC187" s="8">
        <f t="shared" si="46"/>
        <v>46212.483333333395</v>
      </c>
      <c r="AD187" s="8">
        <f t="shared" si="50"/>
        <v>-5031863.6699999915</v>
      </c>
      <c r="AE187" s="18">
        <f>ROUNDUP((T187+U187+V187+W187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7" s="24" t="str">
        <f t="shared" si="47"/>
        <v>Да</v>
      </c>
      <c r="AG187" s="8">
        <f t="shared" si="48"/>
        <v>-167120.84999999986</v>
      </c>
    </row>
    <row r="188" spans="1:33" ht="25.5" x14ac:dyDescent="0.25">
      <c r="A188" s="2" t="s">
        <v>657</v>
      </c>
      <c r="B188" s="12">
        <v>56</v>
      </c>
      <c r="C188" s="2" t="s">
        <v>742</v>
      </c>
      <c r="D188" s="2" t="s">
        <v>743</v>
      </c>
      <c r="E188" s="18">
        <f>Входы!$C$36</f>
        <v>80</v>
      </c>
      <c r="F188" s="18">
        <f>E188*Входы!$C$37/Входы!$C$36</f>
        <v>24</v>
      </c>
      <c r="G188" s="18">
        <f>F188*Входы!$C$38/Входы!$C$37</f>
        <v>12</v>
      </c>
      <c r="H188" s="18">
        <f>Проект!$B$25/12/Входы!$C$40</f>
        <v>5.3333333333333339</v>
      </c>
      <c r="I188" s="18">
        <f>MIN(G188,H188,(Проект!$B$26/12/Входы!$C$80)/Входы!$C$41,MAX(0,Проект!$B$27/Входы!$C$55-L188+K188)/Входы!$C$41,MAX(0,Входы!$C$22-L188)/Входы!$C$41,MAX(0,Проект!$B$23-SUM(J185:J187))/Входы!$C$41,Проект!$B$23/12/Входы!$C$41)</f>
        <v>5.333333333333333</v>
      </c>
      <c r="J188" s="18">
        <f>I188*Входы!$C$41</f>
        <v>2.6666666666666665</v>
      </c>
      <c r="K188" s="18">
        <f t="shared" si="42"/>
        <v>2.6666666666666665</v>
      </c>
      <c r="L188" s="18">
        <f t="shared" si="49"/>
        <v>35</v>
      </c>
      <c r="M188" s="18">
        <f t="shared" si="43"/>
        <v>35</v>
      </c>
      <c r="N188" s="18">
        <f t="shared" si="44"/>
        <v>35</v>
      </c>
      <c r="O188" s="18">
        <f>I188*Входы!$C$40</f>
        <v>106.66666666666666</v>
      </c>
      <c r="P188" s="18">
        <f>J188*Входы!$C$80</f>
        <v>53.333333333333329</v>
      </c>
      <c r="Q188" s="18">
        <f>N188*Входы!$C$55/12</f>
        <v>70</v>
      </c>
      <c r="R188" s="8">
        <f>N188*Входы!$C$75</f>
        <v>875000</v>
      </c>
      <c r="S188" s="8">
        <f>J188*Входы!$C$77</f>
        <v>213333.33333333331</v>
      </c>
      <c r="T188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8" s="8">
        <f>Входы!$C$94*Входы!$C$153*Входы!$C$95</f>
        <v>48750</v>
      </c>
      <c r="V188" s="8">
        <f>Входы!$C$154</f>
        <v>10000</v>
      </c>
      <c r="W188" s="8">
        <f>0</f>
        <v>0</v>
      </c>
      <c r="X188" s="8">
        <f>I188*Входы!$C$40*Входы!$C$81</f>
        <v>266666.66666666663</v>
      </c>
      <c r="Y188" s="8">
        <f>J188*(Входы!$C$80*Входы!$C$81+Входы!$C$82)</f>
        <v>173333.33333333331</v>
      </c>
      <c r="Z188" s="8">
        <f>J188*Входы!$C$96*Входы!$C$75*12</f>
        <v>80000</v>
      </c>
      <c r="AA188" s="8">
        <f>N188*Входы!$C$83</f>
        <v>175000</v>
      </c>
      <c r="AB188" s="8">
        <f t="shared" si="45"/>
        <v>1042120.8499999999</v>
      </c>
      <c r="AC188" s="8">
        <f t="shared" si="46"/>
        <v>46212.483333333395</v>
      </c>
      <c r="AD188" s="8">
        <f t="shared" si="50"/>
        <v>-4985651.1866666581</v>
      </c>
      <c r="AE188" s="18">
        <f>ROUNDUP((T188+U188+V188+W188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8" s="24" t="str">
        <f t="shared" si="47"/>
        <v>Да</v>
      </c>
      <c r="AG188" s="8">
        <f t="shared" si="48"/>
        <v>-167120.84999999986</v>
      </c>
    </row>
    <row r="189" spans="1:33" ht="25.5" x14ac:dyDescent="0.25">
      <c r="A189" s="2" t="s">
        <v>657</v>
      </c>
      <c r="B189" s="12">
        <v>57</v>
      </c>
      <c r="C189" s="2" t="s">
        <v>742</v>
      </c>
      <c r="D189" s="2" t="s">
        <v>743</v>
      </c>
      <c r="E189" s="18">
        <f>Входы!$C$36</f>
        <v>80</v>
      </c>
      <c r="F189" s="18">
        <f>E189*Входы!$C$37/Входы!$C$36</f>
        <v>24</v>
      </c>
      <c r="G189" s="18">
        <f>F189*Входы!$C$38/Входы!$C$37</f>
        <v>12</v>
      </c>
      <c r="H189" s="18">
        <f>Проект!$B$25/12/Входы!$C$40</f>
        <v>5.3333333333333339</v>
      </c>
      <c r="I189" s="18">
        <f>MIN(G189,H189,(Проект!$B$26/12/Входы!$C$80)/Входы!$C$41,MAX(0,Проект!$B$27/Входы!$C$55-L189+K189)/Входы!$C$41,MAX(0,Входы!$C$22-L189)/Входы!$C$41,MAX(0,Проект!$B$23-SUM(J185:J188))/Входы!$C$41,Проект!$B$23/12/Входы!$C$41)</f>
        <v>5.333333333333333</v>
      </c>
      <c r="J189" s="18">
        <f>I189*Входы!$C$41</f>
        <v>2.6666666666666665</v>
      </c>
      <c r="K189" s="18">
        <f t="shared" si="42"/>
        <v>2.6666666666666665</v>
      </c>
      <c r="L189" s="18">
        <f t="shared" si="49"/>
        <v>35</v>
      </c>
      <c r="M189" s="18">
        <f t="shared" si="43"/>
        <v>35</v>
      </c>
      <c r="N189" s="18">
        <f t="shared" si="44"/>
        <v>35</v>
      </c>
      <c r="O189" s="18">
        <f>I189*Входы!$C$40</f>
        <v>106.66666666666666</v>
      </c>
      <c r="P189" s="18">
        <f>J189*Входы!$C$80</f>
        <v>53.333333333333329</v>
      </c>
      <c r="Q189" s="18">
        <f>N189*Входы!$C$55/12</f>
        <v>70</v>
      </c>
      <c r="R189" s="8">
        <f>N189*Входы!$C$75</f>
        <v>875000</v>
      </c>
      <c r="S189" s="8">
        <f>J189*Входы!$C$77</f>
        <v>213333.33333333331</v>
      </c>
      <c r="T189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89" s="8">
        <f>Входы!$C$94*Входы!$C$153*Входы!$C$95</f>
        <v>48750</v>
      </c>
      <c r="V189" s="8">
        <f>Входы!$C$154</f>
        <v>10000</v>
      </c>
      <c r="W189" s="8">
        <f>0</f>
        <v>0</v>
      </c>
      <c r="X189" s="8">
        <f>I189*Входы!$C$40*Входы!$C$81</f>
        <v>266666.66666666663</v>
      </c>
      <c r="Y189" s="8">
        <f>J189*(Входы!$C$80*Входы!$C$81+Входы!$C$82)</f>
        <v>173333.33333333331</v>
      </c>
      <c r="Z189" s="8">
        <f>J189*Входы!$C$96*Входы!$C$75*12</f>
        <v>80000</v>
      </c>
      <c r="AA189" s="8">
        <f>N189*Входы!$C$83</f>
        <v>175000</v>
      </c>
      <c r="AB189" s="8">
        <f t="shared" si="45"/>
        <v>1042120.8499999999</v>
      </c>
      <c r="AC189" s="8">
        <f t="shared" si="46"/>
        <v>46212.483333333395</v>
      </c>
      <c r="AD189" s="8">
        <f t="shared" si="50"/>
        <v>-4939438.7033333248</v>
      </c>
      <c r="AE189" s="18">
        <f>ROUNDUP((T189+U189+V189+W189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89" s="24" t="str">
        <f t="shared" si="47"/>
        <v>Да</v>
      </c>
      <c r="AG189" s="8">
        <f t="shared" si="48"/>
        <v>-167120.84999999986</v>
      </c>
    </row>
    <row r="190" spans="1:33" ht="25.5" x14ac:dyDescent="0.25">
      <c r="A190" s="2" t="s">
        <v>657</v>
      </c>
      <c r="B190" s="12">
        <v>58</v>
      </c>
      <c r="C190" s="2" t="s">
        <v>742</v>
      </c>
      <c r="D190" s="2" t="s">
        <v>743</v>
      </c>
      <c r="E190" s="18">
        <f>Входы!$C$36</f>
        <v>80</v>
      </c>
      <c r="F190" s="18">
        <f>E190*Входы!$C$37/Входы!$C$36</f>
        <v>24</v>
      </c>
      <c r="G190" s="18">
        <f>F190*Входы!$C$38/Входы!$C$37</f>
        <v>12</v>
      </c>
      <c r="H190" s="18">
        <f>Проект!$B$25/12/Входы!$C$40</f>
        <v>5.3333333333333339</v>
      </c>
      <c r="I190" s="18">
        <f>MIN(G190,H190,(Проект!$B$26/12/Входы!$C$80)/Входы!$C$41,MAX(0,Проект!$B$27/Входы!$C$55-L190+K190)/Входы!$C$41,MAX(0,Входы!$C$22-L190)/Входы!$C$41,MAX(0,Проект!$B$23-SUM(J185:J189))/Входы!$C$41,Проект!$B$23/12/Входы!$C$41)</f>
        <v>5.333333333333333</v>
      </c>
      <c r="J190" s="18">
        <f>I190*Входы!$C$41</f>
        <v>2.6666666666666665</v>
      </c>
      <c r="K190" s="18">
        <f t="shared" si="42"/>
        <v>2.6666666666666665</v>
      </c>
      <c r="L190" s="18">
        <f t="shared" si="49"/>
        <v>35</v>
      </c>
      <c r="M190" s="18">
        <f t="shared" si="43"/>
        <v>35</v>
      </c>
      <c r="N190" s="18">
        <f t="shared" si="44"/>
        <v>35</v>
      </c>
      <c r="O190" s="18">
        <f>I190*Входы!$C$40</f>
        <v>106.66666666666666</v>
      </c>
      <c r="P190" s="18">
        <f>J190*Входы!$C$80</f>
        <v>53.333333333333329</v>
      </c>
      <c r="Q190" s="18">
        <f>N190*Входы!$C$55/12</f>
        <v>70</v>
      </c>
      <c r="R190" s="8">
        <f>N190*Входы!$C$75</f>
        <v>875000</v>
      </c>
      <c r="S190" s="8">
        <f>J190*Входы!$C$77</f>
        <v>213333.33333333331</v>
      </c>
      <c r="T190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0" s="8">
        <f>Входы!$C$94*Входы!$C$153*Входы!$C$95</f>
        <v>48750</v>
      </c>
      <c r="V190" s="8">
        <f>Входы!$C$154</f>
        <v>10000</v>
      </c>
      <c r="W190" s="8">
        <f>0</f>
        <v>0</v>
      </c>
      <c r="X190" s="8">
        <f>I190*Входы!$C$40*Входы!$C$81</f>
        <v>266666.66666666663</v>
      </c>
      <c r="Y190" s="8">
        <f>J190*(Входы!$C$80*Входы!$C$81+Входы!$C$82)</f>
        <v>173333.33333333331</v>
      </c>
      <c r="Z190" s="8">
        <f>J190*Входы!$C$96*Входы!$C$75*12</f>
        <v>80000</v>
      </c>
      <c r="AA190" s="8">
        <f>N190*Входы!$C$83</f>
        <v>175000</v>
      </c>
      <c r="AB190" s="8">
        <f t="shared" si="45"/>
        <v>1042120.8499999999</v>
      </c>
      <c r="AC190" s="8">
        <f t="shared" si="46"/>
        <v>46212.483333333395</v>
      </c>
      <c r="AD190" s="8">
        <f t="shared" si="50"/>
        <v>-4893226.2199999914</v>
      </c>
      <c r="AE190" s="18">
        <f>ROUNDUP((T190+U190+V190+W190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0" s="24" t="str">
        <f t="shared" si="47"/>
        <v>Да</v>
      </c>
      <c r="AG190" s="8">
        <f t="shared" si="48"/>
        <v>-167120.84999999986</v>
      </c>
    </row>
    <row r="191" spans="1:33" ht="25.5" x14ac:dyDescent="0.25">
      <c r="A191" s="2" t="s">
        <v>657</v>
      </c>
      <c r="B191" s="12">
        <v>59</v>
      </c>
      <c r="C191" s="2" t="s">
        <v>742</v>
      </c>
      <c r="D191" s="2" t="s">
        <v>743</v>
      </c>
      <c r="E191" s="18">
        <f>Входы!$C$36</f>
        <v>80</v>
      </c>
      <c r="F191" s="18">
        <f>E191*Входы!$C$37/Входы!$C$36</f>
        <v>24</v>
      </c>
      <c r="G191" s="18">
        <f>F191*Входы!$C$38/Входы!$C$37</f>
        <v>12</v>
      </c>
      <c r="H191" s="18">
        <f>Проект!$B$25/12/Входы!$C$40</f>
        <v>5.3333333333333339</v>
      </c>
      <c r="I191" s="18">
        <f>MIN(G191,H191,(Проект!$B$26/12/Входы!$C$80)/Входы!$C$41,MAX(0,Проект!$B$27/Входы!$C$55-L191+K191)/Входы!$C$41,MAX(0,Входы!$C$22-L191)/Входы!$C$41,MAX(0,Проект!$B$23-SUM(J185:J190))/Входы!$C$41,Проект!$B$23/12/Входы!$C$41)</f>
        <v>5.333333333333333</v>
      </c>
      <c r="J191" s="18">
        <f>I191*Входы!$C$41</f>
        <v>2.6666666666666665</v>
      </c>
      <c r="K191" s="18">
        <f t="shared" si="42"/>
        <v>2.6666666666666665</v>
      </c>
      <c r="L191" s="18">
        <f t="shared" si="49"/>
        <v>35</v>
      </c>
      <c r="M191" s="18">
        <f t="shared" si="43"/>
        <v>35</v>
      </c>
      <c r="N191" s="18">
        <f t="shared" si="44"/>
        <v>35</v>
      </c>
      <c r="O191" s="18">
        <f>I191*Входы!$C$40</f>
        <v>106.66666666666666</v>
      </c>
      <c r="P191" s="18">
        <f>J191*Входы!$C$80</f>
        <v>53.333333333333329</v>
      </c>
      <c r="Q191" s="18">
        <f>N191*Входы!$C$55/12</f>
        <v>70</v>
      </c>
      <c r="R191" s="8">
        <f>N191*Входы!$C$75</f>
        <v>875000</v>
      </c>
      <c r="S191" s="8">
        <f>J191*Входы!$C$77</f>
        <v>213333.33333333331</v>
      </c>
      <c r="T191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1" s="8">
        <f>Входы!$C$94*Входы!$C$153*Входы!$C$95</f>
        <v>48750</v>
      </c>
      <c r="V191" s="8">
        <f>Входы!$C$154</f>
        <v>10000</v>
      </c>
      <c r="W191" s="8">
        <f>0</f>
        <v>0</v>
      </c>
      <c r="X191" s="8">
        <f>I191*Входы!$C$40*Входы!$C$81</f>
        <v>266666.66666666663</v>
      </c>
      <c r="Y191" s="8">
        <f>J191*(Входы!$C$80*Входы!$C$81+Входы!$C$82)</f>
        <v>173333.33333333331</v>
      </c>
      <c r="Z191" s="8">
        <f>J191*Входы!$C$96*Входы!$C$75*12</f>
        <v>80000</v>
      </c>
      <c r="AA191" s="8">
        <f>N191*Входы!$C$83</f>
        <v>175000</v>
      </c>
      <c r="AB191" s="8">
        <f t="shared" si="45"/>
        <v>1042120.8499999999</v>
      </c>
      <c r="AC191" s="8">
        <f t="shared" si="46"/>
        <v>46212.483333333395</v>
      </c>
      <c r="AD191" s="8">
        <f t="shared" si="50"/>
        <v>-4847013.736666658</v>
      </c>
      <c r="AE191" s="18">
        <f>ROUNDUP((T191+U191+V191+W191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1" s="24" t="str">
        <f t="shared" si="47"/>
        <v>Да</v>
      </c>
      <c r="AG191" s="8">
        <f t="shared" si="48"/>
        <v>-167120.84999999986</v>
      </c>
    </row>
    <row r="192" spans="1:33" ht="25.5" x14ac:dyDescent="0.25">
      <c r="A192" s="2" t="s">
        <v>657</v>
      </c>
      <c r="B192" s="12">
        <v>60</v>
      </c>
      <c r="C192" s="2" t="s">
        <v>742</v>
      </c>
      <c r="D192" s="2" t="s">
        <v>743</v>
      </c>
      <c r="E192" s="18">
        <f>Входы!$C$36</f>
        <v>80</v>
      </c>
      <c r="F192" s="18">
        <f>E192*Входы!$C$37/Входы!$C$36</f>
        <v>24</v>
      </c>
      <c r="G192" s="18">
        <f>F192*Входы!$C$38/Входы!$C$37</f>
        <v>12</v>
      </c>
      <c r="H192" s="18">
        <f>Проект!$B$25/12/Входы!$C$40</f>
        <v>5.3333333333333339</v>
      </c>
      <c r="I192" s="18">
        <f>MIN(G192,H192,(Проект!$B$26/12/Входы!$C$80)/Входы!$C$41,MAX(0,Проект!$B$27/Входы!$C$55-L192+K192)/Входы!$C$41,MAX(0,Входы!$C$22-L192)/Входы!$C$41,MAX(0,Проект!$B$23-SUM(J185:J191))/Входы!$C$41,Проект!$B$23/12/Входы!$C$41)</f>
        <v>5.333333333333333</v>
      </c>
      <c r="J192" s="18">
        <f>I192*Входы!$C$41</f>
        <v>2.6666666666666665</v>
      </c>
      <c r="K192" s="18">
        <f t="shared" si="42"/>
        <v>2.6666666666666665</v>
      </c>
      <c r="L192" s="18">
        <f t="shared" si="49"/>
        <v>35</v>
      </c>
      <c r="M192" s="18">
        <f t="shared" si="43"/>
        <v>35</v>
      </c>
      <c r="N192" s="18">
        <f t="shared" si="44"/>
        <v>35</v>
      </c>
      <c r="O192" s="18">
        <f>I192*Входы!$C$40</f>
        <v>106.66666666666666</v>
      </c>
      <c r="P192" s="18">
        <f>J192*Входы!$C$80</f>
        <v>53.333333333333329</v>
      </c>
      <c r="Q192" s="18">
        <f>N192*Входы!$C$55/12</f>
        <v>70</v>
      </c>
      <c r="R192" s="8">
        <f>N192*Входы!$C$75</f>
        <v>875000</v>
      </c>
      <c r="S192" s="8">
        <f>J192*Входы!$C$77</f>
        <v>213333.33333333331</v>
      </c>
      <c r="T192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2" s="8">
        <f>Входы!$C$94*Входы!$C$153*Входы!$C$95</f>
        <v>48750</v>
      </c>
      <c r="V192" s="8">
        <f>Входы!$C$154</f>
        <v>10000</v>
      </c>
      <c r="W192" s="8">
        <f>0</f>
        <v>0</v>
      </c>
      <c r="X192" s="8">
        <f>I192*Входы!$C$40*Входы!$C$81</f>
        <v>266666.66666666663</v>
      </c>
      <c r="Y192" s="8">
        <f>J192*(Входы!$C$80*Входы!$C$81+Входы!$C$82)</f>
        <v>173333.33333333331</v>
      </c>
      <c r="Z192" s="8">
        <f>J192*Входы!$C$96*Входы!$C$75*12</f>
        <v>80000</v>
      </c>
      <c r="AA192" s="8">
        <f>N192*Входы!$C$83</f>
        <v>175000</v>
      </c>
      <c r="AB192" s="8">
        <f t="shared" si="45"/>
        <v>1042120.8499999999</v>
      </c>
      <c r="AC192" s="8">
        <f t="shared" si="46"/>
        <v>46212.483333333395</v>
      </c>
      <c r="AD192" s="8">
        <f t="shared" si="50"/>
        <v>-4800801.2533333246</v>
      </c>
      <c r="AE192" s="18">
        <f>ROUNDUP((T192+U192+V192+W192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2" s="24" t="str">
        <f t="shared" si="47"/>
        <v>Да</v>
      </c>
      <c r="AG192" s="8">
        <f t="shared" si="48"/>
        <v>-167120.84999999986</v>
      </c>
    </row>
    <row r="193" spans="1:33" ht="25.5" x14ac:dyDescent="0.25">
      <c r="A193" s="2" t="s">
        <v>657</v>
      </c>
      <c r="B193" s="12">
        <v>61</v>
      </c>
      <c r="C193" s="2" t="s">
        <v>742</v>
      </c>
      <c r="D193" s="2" t="s">
        <v>743</v>
      </c>
      <c r="E193" s="18">
        <f>Входы!$C$36</f>
        <v>80</v>
      </c>
      <c r="F193" s="18">
        <f>E193*Входы!$C$37/Входы!$C$36</f>
        <v>24</v>
      </c>
      <c r="G193" s="18">
        <f>F193*Входы!$C$38/Входы!$C$37</f>
        <v>12</v>
      </c>
      <c r="H193" s="18">
        <f>Проект!$B$25/12/Входы!$C$40</f>
        <v>5.3333333333333339</v>
      </c>
      <c r="I193" s="18">
        <f>MIN(G193,H193,(Проект!$B$26/12/Входы!$C$80)/Входы!$C$41,MAX(0,Проект!$B$27/Входы!$C$55-L193+K193)/Входы!$C$41,MAX(0,Входы!$C$22-L193)/Входы!$C$41,MAX(0,Проект!$B$23-SUM(J185:J192))/Входы!$C$41,Проект!$B$23/12/Входы!$C$41)</f>
        <v>5.333333333333333</v>
      </c>
      <c r="J193" s="18">
        <f>I193*Входы!$C$41</f>
        <v>2.6666666666666665</v>
      </c>
      <c r="K193" s="18">
        <f t="shared" si="42"/>
        <v>2.6666666666666665</v>
      </c>
      <c r="L193" s="18">
        <f t="shared" si="49"/>
        <v>35</v>
      </c>
      <c r="M193" s="18">
        <f t="shared" si="43"/>
        <v>35</v>
      </c>
      <c r="N193" s="18">
        <f t="shared" si="44"/>
        <v>35</v>
      </c>
      <c r="O193" s="18">
        <f>I193*Входы!$C$40</f>
        <v>106.66666666666666</v>
      </c>
      <c r="P193" s="18">
        <f>J193*Входы!$C$80</f>
        <v>53.333333333333329</v>
      </c>
      <c r="Q193" s="18">
        <f>N193*Входы!$C$55/12</f>
        <v>70</v>
      </c>
      <c r="R193" s="8">
        <f>N193*Входы!$C$75</f>
        <v>875000</v>
      </c>
      <c r="S193" s="8">
        <f>J193*Входы!$C$77</f>
        <v>213333.33333333331</v>
      </c>
      <c r="T193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3" s="8">
        <f>Входы!$C$94*Входы!$C$153*Входы!$C$95</f>
        <v>48750</v>
      </c>
      <c r="V193" s="8">
        <f>Входы!$C$154</f>
        <v>10000</v>
      </c>
      <c r="W193" s="8">
        <f>0</f>
        <v>0</v>
      </c>
      <c r="X193" s="8">
        <f>I193*Входы!$C$40*Входы!$C$81</f>
        <v>266666.66666666663</v>
      </c>
      <c r="Y193" s="8">
        <f>J193*(Входы!$C$80*Входы!$C$81+Входы!$C$82)</f>
        <v>173333.33333333331</v>
      </c>
      <c r="Z193" s="8">
        <f>J193*Входы!$C$96*Входы!$C$75*12</f>
        <v>80000</v>
      </c>
      <c r="AA193" s="8">
        <f>N193*Входы!$C$83</f>
        <v>175000</v>
      </c>
      <c r="AB193" s="8">
        <f t="shared" si="45"/>
        <v>1042120.8499999999</v>
      </c>
      <c r="AC193" s="8">
        <f t="shared" si="46"/>
        <v>46212.483333333395</v>
      </c>
      <c r="AD193" s="8">
        <f t="shared" si="50"/>
        <v>-4754588.7699999912</v>
      </c>
      <c r="AE193" s="18">
        <f>ROUNDUP((T193+U193+V193+W193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3" s="24" t="str">
        <f t="shared" si="47"/>
        <v>Да</v>
      </c>
      <c r="AG193" s="8">
        <f t="shared" si="48"/>
        <v>-167120.84999999986</v>
      </c>
    </row>
    <row r="194" spans="1:33" ht="25.5" x14ac:dyDescent="0.25">
      <c r="A194" s="2" t="s">
        <v>657</v>
      </c>
      <c r="B194" s="12">
        <v>62</v>
      </c>
      <c r="C194" s="2" t="s">
        <v>742</v>
      </c>
      <c r="D194" s="2" t="s">
        <v>743</v>
      </c>
      <c r="E194" s="18">
        <f>Входы!$C$36</f>
        <v>80</v>
      </c>
      <c r="F194" s="18">
        <f>E194*Входы!$C$37/Входы!$C$36</f>
        <v>24</v>
      </c>
      <c r="G194" s="18">
        <f>F194*Входы!$C$38/Входы!$C$37</f>
        <v>12</v>
      </c>
      <c r="H194" s="18">
        <f>Проект!$B$25/12/Входы!$C$40</f>
        <v>5.3333333333333339</v>
      </c>
      <c r="I194" s="18">
        <f>MIN(G194,H194,(Проект!$B$26/12/Входы!$C$80)/Входы!$C$41,MAX(0,Проект!$B$27/Входы!$C$55-L194+K194)/Входы!$C$41,MAX(0,Входы!$C$22-L194)/Входы!$C$41,MAX(0,Проект!$B$23-SUM(J185:J193))/Входы!$C$41,Проект!$B$23/12/Входы!$C$41)</f>
        <v>5.333333333333333</v>
      </c>
      <c r="J194" s="18">
        <f>I194*Входы!$C$41</f>
        <v>2.6666666666666665</v>
      </c>
      <c r="K194" s="18">
        <f t="shared" si="42"/>
        <v>2.6666666666666665</v>
      </c>
      <c r="L194" s="18">
        <f t="shared" si="49"/>
        <v>35</v>
      </c>
      <c r="M194" s="18">
        <f t="shared" si="43"/>
        <v>35</v>
      </c>
      <c r="N194" s="18">
        <f t="shared" si="44"/>
        <v>35</v>
      </c>
      <c r="O194" s="18">
        <f>I194*Входы!$C$40</f>
        <v>106.66666666666666</v>
      </c>
      <c r="P194" s="18">
        <f>J194*Входы!$C$80</f>
        <v>53.333333333333329</v>
      </c>
      <c r="Q194" s="18">
        <f>N194*Входы!$C$55/12</f>
        <v>70</v>
      </c>
      <c r="R194" s="8">
        <f>N194*Входы!$C$75</f>
        <v>875000</v>
      </c>
      <c r="S194" s="8">
        <f>J194*Входы!$C$77</f>
        <v>213333.33333333331</v>
      </c>
      <c r="T194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4" s="8">
        <f>Входы!$C$94*Входы!$C$153*Входы!$C$95</f>
        <v>48750</v>
      </c>
      <c r="V194" s="8">
        <f>Входы!$C$154</f>
        <v>10000</v>
      </c>
      <c r="W194" s="8">
        <f>0</f>
        <v>0</v>
      </c>
      <c r="X194" s="8">
        <f>I194*Входы!$C$40*Входы!$C$81</f>
        <v>266666.66666666663</v>
      </c>
      <c r="Y194" s="8">
        <f>J194*(Входы!$C$80*Входы!$C$81+Входы!$C$82)</f>
        <v>173333.33333333331</v>
      </c>
      <c r="Z194" s="8">
        <f>J194*Входы!$C$96*Входы!$C$75*12</f>
        <v>80000</v>
      </c>
      <c r="AA194" s="8">
        <f>N194*Входы!$C$83</f>
        <v>175000</v>
      </c>
      <c r="AB194" s="8">
        <f t="shared" si="45"/>
        <v>1042120.8499999999</v>
      </c>
      <c r="AC194" s="8">
        <f t="shared" si="46"/>
        <v>46212.483333333395</v>
      </c>
      <c r="AD194" s="8">
        <f t="shared" si="50"/>
        <v>-4708376.2866666578</v>
      </c>
      <c r="AE194" s="18">
        <f>ROUNDUP((T194+U194+V194+W194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4" s="24" t="str">
        <f t="shared" si="47"/>
        <v>Да</v>
      </c>
      <c r="AG194" s="8">
        <f t="shared" si="48"/>
        <v>-167120.84999999986</v>
      </c>
    </row>
    <row r="195" spans="1:33" ht="25.5" x14ac:dyDescent="0.25">
      <c r="A195" s="2" t="s">
        <v>657</v>
      </c>
      <c r="B195" s="12">
        <v>63</v>
      </c>
      <c r="C195" s="2" t="s">
        <v>742</v>
      </c>
      <c r="D195" s="2" t="s">
        <v>743</v>
      </c>
      <c r="E195" s="18">
        <f>Входы!$C$36</f>
        <v>80</v>
      </c>
      <c r="F195" s="18">
        <f>E195*Входы!$C$37/Входы!$C$36</f>
        <v>24</v>
      </c>
      <c r="G195" s="18">
        <f>F195*Входы!$C$38/Входы!$C$37</f>
        <v>12</v>
      </c>
      <c r="H195" s="18">
        <f>Проект!$B$25/12/Входы!$C$40</f>
        <v>5.3333333333333339</v>
      </c>
      <c r="I195" s="18">
        <f>MIN(G195,H195,(Проект!$B$26/12/Входы!$C$80)/Входы!$C$41,MAX(0,Проект!$B$27/Входы!$C$55-L195+K195)/Входы!$C$41,MAX(0,Входы!$C$22-L195)/Входы!$C$41,MAX(0,Проект!$B$23-SUM(J185:J194))/Входы!$C$41,Проект!$B$23/12/Входы!$C$41)</f>
        <v>5.333333333333333</v>
      </c>
      <c r="J195" s="18">
        <f>I195*Входы!$C$41</f>
        <v>2.6666666666666665</v>
      </c>
      <c r="K195" s="18">
        <f t="shared" si="42"/>
        <v>2.6666666666666665</v>
      </c>
      <c r="L195" s="18">
        <f t="shared" si="49"/>
        <v>35</v>
      </c>
      <c r="M195" s="18">
        <f t="shared" si="43"/>
        <v>35</v>
      </c>
      <c r="N195" s="18">
        <f t="shared" si="44"/>
        <v>35</v>
      </c>
      <c r="O195" s="18">
        <f>I195*Входы!$C$40</f>
        <v>106.66666666666666</v>
      </c>
      <c r="P195" s="18">
        <f>J195*Входы!$C$80</f>
        <v>53.333333333333329</v>
      </c>
      <c r="Q195" s="18">
        <f>N195*Входы!$C$55/12</f>
        <v>70</v>
      </c>
      <c r="R195" s="8">
        <f>N195*Входы!$C$75</f>
        <v>875000</v>
      </c>
      <c r="S195" s="8">
        <f>J195*Входы!$C$77</f>
        <v>213333.33333333331</v>
      </c>
      <c r="T195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5" s="8">
        <f>Входы!$C$94*Входы!$C$153*Входы!$C$95</f>
        <v>48750</v>
      </c>
      <c r="V195" s="8">
        <f>Входы!$C$154</f>
        <v>10000</v>
      </c>
      <c r="W195" s="8">
        <f>0</f>
        <v>0</v>
      </c>
      <c r="X195" s="8">
        <f>I195*Входы!$C$40*Входы!$C$81</f>
        <v>266666.66666666663</v>
      </c>
      <c r="Y195" s="8">
        <f>J195*(Входы!$C$80*Входы!$C$81+Входы!$C$82)</f>
        <v>173333.33333333331</v>
      </c>
      <c r="Z195" s="8">
        <f>J195*Входы!$C$96*Входы!$C$75*12</f>
        <v>80000</v>
      </c>
      <c r="AA195" s="8">
        <f>N195*Входы!$C$83</f>
        <v>175000</v>
      </c>
      <c r="AB195" s="8">
        <f t="shared" si="45"/>
        <v>1042120.8499999999</v>
      </c>
      <c r="AC195" s="8">
        <f t="shared" si="46"/>
        <v>46212.483333333395</v>
      </c>
      <c r="AD195" s="8">
        <f t="shared" si="50"/>
        <v>-4662163.8033333244</v>
      </c>
      <c r="AE195" s="18">
        <f>ROUNDUP((T195+U195+V195+W195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5" s="24" t="str">
        <f t="shared" si="47"/>
        <v>Да</v>
      </c>
      <c r="AG195" s="8">
        <f t="shared" si="48"/>
        <v>-167120.84999999986</v>
      </c>
    </row>
    <row r="196" spans="1:33" ht="25.5" x14ac:dyDescent="0.25">
      <c r="A196" s="2" t="s">
        <v>657</v>
      </c>
      <c r="B196" s="12">
        <v>64</v>
      </c>
      <c r="C196" s="2" t="s">
        <v>742</v>
      </c>
      <c r="D196" s="2" t="s">
        <v>743</v>
      </c>
      <c r="E196" s="18">
        <f>Входы!$C$36</f>
        <v>80</v>
      </c>
      <c r="F196" s="18">
        <f>E196*Входы!$C$37/Входы!$C$36</f>
        <v>24</v>
      </c>
      <c r="G196" s="18">
        <f>F196*Входы!$C$38/Входы!$C$37</f>
        <v>12</v>
      </c>
      <c r="H196" s="18">
        <f>Проект!$B$25/12/Входы!$C$40</f>
        <v>5.3333333333333339</v>
      </c>
      <c r="I196" s="18">
        <f>MIN(G196,H196,(Проект!$B$26/12/Входы!$C$80)/Входы!$C$41,MAX(0,Проект!$B$27/Входы!$C$55-L196+K196)/Входы!$C$41,MAX(0,Входы!$C$22-L196)/Входы!$C$41,MAX(0,Проект!$B$23-SUM(J185:J195))/Входы!$C$41,Проект!$B$23/12/Входы!$C$41)</f>
        <v>5.3333333333333286</v>
      </c>
      <c r="J196" s="18">
        <f>I196*Входы!$C$41</f>
        <v>2.6666666666666643</v>
      </c>
      <c r="K196" s="18">
        <f t="shared" si="42"/>
        <v>2.6666666666666643</v>
      </c>
      <c r="L196" s="18">
        <f t="shared" si="49"/>
        <v>35</v>
      </c>
      <c r="M196" s="18">
        <f t="shared" si="43"/>
        <v>35</v>
      </c>
      <c r="N196" s="18">
        <f t="shared" si="44"/>
        <v>35</v>
      </c>
      <c r="O196" s="18">
        <f>I196*Входы!$C$40</f>
        <v>106.66666666666657</v>
      </c>
      <c r="P196" s="18">
        <f>J196*Входы!$C$80</f>
        <v>53.333333333333286</v>
      </c>
      <c r="Q196" s="18">
        <f>N196*Входы!$C$55/12</f>
        <v>70</v>
      </c>
      <c r="R196" s="8">
        <f>N196*Входы!$C$75</f>
        <v>875000</v>
      </c>
      <c r="S196" s="8">
        <f>J196*Входы!$C$77</f>
        <v>213333.33333333314</v>
      </c>
      <c r="T196" s="8">
        <f>Входы!$C$143*Входы!$C$144*Входы!$C$93*Входы!$C$95+Входы!$C$86*Входы!$C$145*(Входы!$C$146*Входы!$C$147+Входы!$C$148*Входы!$C$89)+Входы!$C$86*Входы!$C$149*Входы!$C$90+Входы!$C$150+Входы!$C$151+Входы!$C$92/12</f>
        <v>288370.84999999998</v>
      </c>
      <c r="U196" s="8">
        <f>Входы!$C$94*Входы!$C$153*Входы!$C$95</f>
        <v>48750</v>
      </c>
      <c r="V196" s="8">
        <f>Входы!$C$154</f>
        <v>10000</v>
      </c>
      <c r="W196" s="8">
        <f>0</f>
        <v>0</v>
      </c>
      <c r="X196" s="8">
        <f>I196*Входы!$C$40*Входы!$C$81</f>
        <v>266666.66666666645</v>
      </c>
      <c r="Y196" s="8">
        <f>J196*(Входы!$C$80*Входы!$C$81+Входы!$C$82)</f>
        <v>173333.33333333317</v>
      </c>
      <c r="Z196" s="8">
        <f>J196*Входы!$C$96*Входы!$C$75*12</f>
        <v>79999.999999999927</v>
      </c>
      <c r="AA196" s="8">
        <f>N196*Входы!$C$83</f>
        <v>175000</v>
      </c>
      <c r="AB196" s="8">
        <f t="shared" si="45"/>
        <v>1042120.8499999994</v>
      </c>
      <c r="AC196" s="8">
        <f t="shared" si="46"/>
        <v>46212.483333333628</v>
      </c>
      <c r="AD196" s="8">
        <f t="shared" si="50"/>
        <v>-4615951.319999991</v>
      </c>
      <c r="AE196" s="18">
        <f>ROUNDUP((T196+U196+V196+W196+(MIN(Проект!$B$23,Проект!$B$25/Входы!$C$40*Входы!$C$41,Проект!$B$26/Входы!$C$80,Проект!$B$23/12*12))/12*(Входы!$C$40*Входы!$C$81/Входы!$C$41+Входы!$C$96*Входы!$C$75*12))/(Входы!$C$75-Входы!$C$83),0)</f>
        <v>35</v>
      </c>
      <c r="AF196" s="24" t="str">
        <f t="shared" si="47"/>
        <v>Да</v>
      </c>
      <c r="AG196" s="8">
        <f t="shared" si="48"/>
        <v>-167120.84999999939</v>
      </c>
    </row>
  </sheetData>
  <autoFilter ref="A4:AG196" xr:uid="{00000000-0009-0000-0000-000005000000}"/>
  <mergeCells count="2">
    <mergeCell ref="A2:AG2"/>
    <mergeCell ref="A1:AG1"/>
  </mergeCell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0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0" customWidth="1"/>
    <col min="2" max="2" width="16" customWidth="1"/>
    <col min="3" max="3" width="22" customWidth="1"/>
    <col min="4" max="4" width="28" customWidth="1"/>
    <col min="5" max="5" width="16" customWidth="1"/>
    <col min="6" max="8" width="20" customWidth="1"/>
    <col min="9" max="9" width="24" customWidth="1"/>
    <col min="10" max="10" width="25" customWidth="1"/>
    <col min="11" max="11" width="20" customWidth="1"/>
  </cols>
  <sheetData>
    <row r="1" spans="1:11" ht="27.95" customHeight="1" x14ac:dyDescent="0.25">
      <c r="A1" s="28" t="s">
        <v>745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3.950000000000003" customHeight="1" x14ac:dyDescent="0.25">
      <c r="A2" s="26" t="s">
        <v>746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4" spans="1:11" ht="44.1" customHeight="1" x14ac:dyDescent="0.25">
      <c r="A4" s="1" t="s">
        <v>747</v>
      </c>
      <c r="B4" s="1" t="s">
        <v>748</v>
      </c>
      <c r="C4" s="1" t="s">
        <v>661</v>
      </c>
      <c r="D4" s="1" t="s">
        <v>662</v>
      </c>
      <c r="E4" s="1" t="s">
        <v>749</v>
      </c>
      <c r="F4" s="1" t="s">
        <v>750</v>
      </c>
      <c r="G4" s="1" t="s">
        <v>751</v>
      </c>
      <c r="H4" s="1" t="s">
        <v>752</v>
      </c>
      <c r="I4" s="1" t="s">
        <v>753</v>
      </c>
      <c r="J4" s="1" t="s">
        <v>754</v>
      </c>
      <c r="K4" s="1" t="s">
        <v>755</v>
      </c>
    </row>
    <row r="5" spans="1:11" x14ac:dyDescent="0.25">
      <c r="A5" s="2">
        <v>28000</v>
      </c>
      <c r="B5" s="25">
        <v>0.5</v>
      </c>
      <c r="C5" s="25">
        <v>0.3</v>
      </c>
      <c r="D5" s="25">
        <v>0</v>
      </c>
      <c r="E5" s="19">
        <v>0</v>
      </c>
      <c r="F5" s="8">
        <f>A5*B5*C5*(1-D5)*(1-Входы!$C$73)*E5*12</f>
        <v>0</v>
      </c>
      <c r="G5" s="8">
        <f>(Входы!$C$67-Входы!$C$68)*Входы!$C$8/Входы!$C$9*E5*12</f>
        <v>0</v>
      </c>
      <c r="H5" s="8">
        <f>Входы!$C$5*Входы!$C$71*B5*C5*(1-D5)*E5*12</f>
        <v>0</v>
      </c>
      <c r="I5" s="8">
        <f t="shared" ref="I5:I68" si="0">SUM(F5:H5)</f>
        <v>0</v>
      </c>
      <c r="J5" s="8">
        <f>I5-Входы!$C$75*12-Входы!$C$77-Входы!$C$78-Входы!$C$79*Входы!$C$8/Входы!$C$9</f>
        <v>-411230.88905555877</v>
      </c>
      <c r="K5" s="24" t="str">
        <f t="shared" ref="K5:K68" si="1">IF(J5&lt;=0,"Да","Нет")</f>
        <v>Да</v>
      </c>
    </row>
    <row r="6" spans="1:11" x14ac:dyDescent="0.25">
      <c r="A6" s="2">
        <v>28000</v>
      </c>
      <c r="B6" s="25">
        <v>0.5</v>
      </c>
      <c r="C6" s="25">
        <v>0.3</v>
      </c>
      <c r="D6" s="25">
        <v>0</v>
      </c>
      <c r="E6" s="19">
        <v>1</v>
      </c>
      <c r="F6" s="8">
        <f>A6*B6*C6*(1-D6)*(1-Входы!$C$73)*E6*12</f>
        <v>46368</v>
      </c>
      <c r="G6" s="8">
        <f>(Входы!$C$67-Входы!$C$68)*Входы!$C$8/Входы!$C$9*E6*12</f>
        <v>28039.00075001442</v>
      </c>
      <c r="H6" s="8">
        <f>Входы!$C$5*Входы!$C$71*B6*C6*(1-D6)*E6*12</f>
        <v>9000</v>
      </c>
      <c r="I6" s="8">
        <f t="shared" si="0"/>
        <v>83407.000750014413</v>
      </c>
      <c r="J6" s="8">
        <f>I6-Входы!$C$75*12-Входы!$C$77-Входы!$C$78-Входы!$C$79*Входы!$C$8/Входы!$C$9</f>
        <v>-327823.88830554433</v>
      </c>
      <c r="K6" s="24" t="str">
        <f t="shared" si="1"/>
        <v>Да</v>
      </c>
    </row>
    <row r="7" spans="1:11" x14ac:dyDescent="0.25">
      <c r="A7" s="2">
        <v>28000</v>
      </c>
      <c r="B7" s="25">
        <v>0.5</v>
      </c>
      <c r="C7" s="25">
        <v>0.3</v>
      </c>
      <c r="D7" s="25">
        <v>0</v>
      </c>
      <c r="E7" s="19">
        <v>2</v>
      </c>
      <c r="F7" s="8">
        <f>A7*B7*C7*(1-D7)*(1-Входы!$C$73)*E7*12</f>
        <v>92736</v>
      </c>
      <c r="G7" s="8">
        <f>(Входы!$C$67-Входы!$C$68)*Входы!$C$8/Входы!$C$9*E7*12</f>
        <v>56078.00150002884</v>
      </c>
      <c r="H7" s="8">
        <f>Входы!$C$5*Входы!$C$71*B7*C7*(1-D7)*E7*12</f>
        <v>18000</v>
      </c>
      <c r="I7" s="8">
        <f t="shared" si="0"/>
        <v>166814.00150002883</v>
      </c>
      <c r="J7" s="8">
        <f>I7-Входы!$C$75*12-Входы!$C$77-Входы!$C$78-Входы!$C$79*Входы!$C$8/Входы!$C$9</f>
        <v>-244416.88755552995</v>
      </c>
      <c r="K7" s="24" t="str">
        <f t="shared" si="1"/>
        <v>Да</v>
      </c>
    </row>
    <row r="8" spans="1:11" x14ac:dyDescent="0.25">
      <c r="A8" s="2">
        <v>28000</v>
      </c>
      <c r="B8" s="25">
        <v>0.5</v>
      </c>
      <c r="C8" s="25">
        <v>0.3</v>
      </c>
      <c r="D8" s="25">
        <v>0</v>
      </c>
      <c r="E8" s="19">
        <v>3</v>
      </c>
      <c r="F8" s="8">
        <f>A8*B8*C8*(1-D8)*(1-Входы!$C$73)*E8*12</f>
        <v>139104</v>
      </c>
      <c r="G8" s="8">
        <f>(Входы!$C$67-Входы!$C$68)*Входы!$C$8/Входы!$C$9*E8*12</f>
        <v>84117.002250043268</v>
      </c>
      <c r="H8" s="8">
        <f>Входы!$C$5*Входы!$C$71*B8*C8*(1-D8)*E8*12</f>
        <v>27000</v>
      </c>
      <c r="I8" s="8">
        <f t="shared" si="0"/>
        <v>250221.00225004327</v>
      </c>
      <c r="J8" s="8">
        <f>I8-Входы!$C$75*12-Входы!$C$77-Входы!$C$78-Входы!$C$79*Входы!$C$8/Входы!$C$9</f>
        <v>-161009.8868055155</v>
      </c>
      <c r="K8" s="24" t="str">
        <f t="shared" si="1"/>
        <v>Да</v>
      </c>
    </row>
    <row r="9" spans="1:11" x14ac:dyDescent="0.25">
      <c r="A9" s="2">
        <v>28000</v>
      </c>
      <c r="B9" s="25">
        <v>0.5</v>
      </c>
      <c r="C9" s="25">
        <v>0.3</v>
      </c>
      <c r="D9" s="25">
        <v>0</v>
      </c>
      <c r="E9" s="19">
        <v>4</v>
      </c>
      <c r="F9" s="8">
        <f>A9*B9*C9*(1-D9)*(1-Входы!$C$73)*E9*12</f>
        <v>185472</v>
      </c>
      <c r="G9" s="8">
        <f>(Входы!$C$67-Входы!$C$68)*Входы!$C$8/Входы!$C$9*E9*12</f>
        <v>112156.00300005768</v>
      </c>
      <c r="H9" s="8">
        <f>Входы!$C$5*Входы!$C$71*B9*C9*(1-D9)*E9*12</f>
        <v>36000</v>
      </c>
      <c r="I9" s="8">
        <f t="shared" si="0"/>
        <v>333628.00300005765</v>
      </c>
      <c r="J9" s="8">
        <f>I9-Входы!$C$75*12-Входы!$C$77-Входы!$C$78-Входы!$C$79*Входы!$C$8/Входы!$C$9</f>
        <v>-77602.886055501105</v>
      </c>
      <c r="K9" s="24" t="str">
        <f t="shared" si="1"/>
        <v>Да</v>
      </c>
    </row>
    <row r="10" spans="1:11" x14ac:dyDescent="0.25">
      <c r="A10" s="2">
        <v>28000</v>
      </c>
      <c r="B10" s="25">
        <v>0.5</v>
      </c>
      <c r="C10" s="25">
        <v>0.3</v>
      </c>
      <c r="D10" s="25">
        <v>0.8</v>
      </c>
      <c r="E10" s="19">
        <v>0</v>
      </c>
      <c r="F10" s="8">
        <f>A10*B10*C10*(1-D10)*(1-Входы!$C$73)*E10*12</f>
        <v>0</v>
      </c>
      <c r="G10" s="8">
        <f>(Входы!$C$67-Входы!$C$68)*Входы!$C$8/Входы!$C$9*E10*12</f>
        <v>0</v>
      </c>
      <c r="H10" s="8">
        <f>Входы!$C$5*Входы!$C$71*B10*C10*(1-D10)*E10*12</f>
        <v>0</v>
      </c>
      <c r="I10" s="8">
        <f t="shared" si="0"/>
        <v>0</v>
      </c>
      <c r="J10" s="8">
        <f>I10-Входы!$C$75*12-Входы!$C$77-Входы!$C$78-Входы!$C$79*Входы!$C$8/Входы!$C$9</f>
        <v>-411230.88905555877</v>
      </c>
      <c r="K10" s="24" t="str">
        <f t="shared" si="1"/>
        <v>Да</v>
      </c>
    </row>
    <row r="11" spans="1:11" x14ac:dyDescent="0.25">
      <c r="A11" s="2">
        <v>28000</v>
      </c>
      <c r="B11" s="25">
        <v>0.5</v>
      </c>
      <c r="C11" s="25">
        <v>0.3</v>
      </c>
      <c r="D11" s="25">
        <v>0.8</v>
      </c>
      <c r="E11" s="19">
        <v>1</v>
      </c>
      <c r="F11" s="8">
        <f>A11*B11*C11*(1-D11)*(1-Входы!$C$73)*E11*12</f>
        <v>9273.5999999999985</v>
      </c>
      <c r="G11" s="8">
        <f>(Входы!$C$67-Входы!$C$68)*Входы!$C$8/Входы!$C$9*E11*12</f>
        <v>28039.00075001442</v>
      </c>
      <c r="H11" s="8">
        <f>Входы!$C$5*Входы!$C$71*B11*C11*(1-D11)*E11*12</f>
        <v>1799.9999999999995</v>
      </c>
      <c r="I11" s="8">
        <f t="shared" si="0"/>
        <v>39112.600750014419</v>
      </c>
      <c r="J11" s="8">
        <f>I11-Входы!$C$75*12-Входы!$C$77-Входы!$C$78-Входы!$C$79*Входы!$C$8/Входы!$C$9</f>
        <v>-372118.28830554435</v>
      </c>
      <c r="K11" s="24" t="str">
        <f t="shared" si="1"/>
        <v>Да</v>
      </c>
    </row>
    <row r="12" spans="1:11" x14ac:dyDescent="0.25">
      <c r="A12" s="2">
        <v>28000</v>
      </c>
      <c r="B12" s="25">
        <v>0.5</v>
      </c>
      <c r="C12" s="25">
        <v>0.3</v>
      </c>
      <c r="D12" s="25">
        <v>0.8</v>
      </c>
      <c r="E12" s="19">
        <v>2</v>
      </c>
      <c r="F12" s="8">
        <f>A12*B12*C12*(1-D12)*(1-Входы!$C$73)*E12*12</f>
        <v>18547.199999999997</v>
      </c>
      <c r="G12" s="8">
        <f>(Входы!$C$67-Входы!$C$68)*Входы!$C$8/Входы!$C$9*E12*12</f>
        <v>56078.00150002884</v>
      </c>
      <c r="H12" s="8">
        <f>Входы!$C$5*Входы!$C$71*B12*C12*(1-D12)*E12*12</f>
        <v>3599.9999999999991</v>
      </c>
      <c r="I12" s="8">
        <f t="shared" si="0"/>
        <v>78225.201500028837</v>
      </c>
      <c r="J12" s="8">
        <f>I12-Входы!$C$75*12-Входы!$C$77-Входы!$C$78-Входы!$C$79*Входы!$C$8/Входы!$C$9</f>
        <v>-333005.68755552993</v>
      </c>
      <c r="K12" s="24" t="str">
        <f t="shared" si="1"/>
        <v>Да</v>
      </c>
    </row>
    <row r="13" spans="1:11" x14ac:dyDescent="0.25">
      <c r="A13" s="2">
        <v>28000</v>
      </c>
      <c r="B13" s="25">
        <v>0.5</v>
      </c>
      <c r="C13" s="25">
        <v>0.3</v>
      </c>
      <c r="D13" s="25">
        <v>0.8</v>
      </c>
      <c r="E13" s="19">
        <v>3</v>
      </c>
      <c r="F13" s="8">
        <f>A13*B13*C13*(1-D13)*(1-Входы!$C$73)*E13*12</f>
        <v>27820.799999999996</v>
      </c>
      <c r="G13" s="8">
        <f>(Входы!$C$67-Входы!$C$68)*Входы!$C$8/Входы!$C$9*E13*12</f>
        <v>84117.002250043268</v>
      </c>
      <c r="H13" s="8">
        <f>Входы!$C$5*Входы!$C$71*B13*C13*(1-D13)*E13*12</f>
        <v>5399.9999999999982</v>
      </c>
      <c r="I13" s="8">
        <f t="shared" si="0"/>
        <v>117337.80225004326</v>
      </c>
      <c r="J13" s="8">
        <f>I13-Входы!$C$75*12-Входы!$C$77-Входы!$C$78-Входы!$C$79*Входы!$C$8/Входы!$C$9</f>
        <v>-293893.08680551552</v>
      </c>
      <c r="K13" s="24" t="str">
        <f t="shared" si="1"/>
        <v>Да</v>
      </c>
    </row>
    <row r="14" spans="1:11" x14ac:dyDescent="0.25">
      <c r="A14" s="2">
        <v>28000</v>
      </c>
      <c r="B14" s="25">
        <v>0.5</v>
      </c>
      <c r="C14" s="25">
        <v>0.3</v>
      </c>
      <c r="D14" s="25">
        <v>0.8</v>
      </c>
      <c r="E14" s="19">
        <v>4</v>
      </c>
      <c r="F14" s="8">
        <f>A14*B14*C14*(1-D14)*(1-Входы!$C$73)*E14*12</f>
        <v>37094.399999999994</v>
      </c>
      <c r="G14" s="8">
        <f>(Входы!$C$67-Входы!$C$68)*Входы!$C$8/Входы!$C$9*E14*12</f>
        <v>112156.00300005768</v>
      </c>
      <c r="H14" s="8">
        <f>Входы!$C$5*Входы!$C$71*B14*C14*(1-D14)*E14*12</f>
        <v>7199.9999999999982</v>
      </c>
      <c r="I14" s="8">
        <f t="shared" si="0"/>
        <v>156450.40300005767</v>
      </c>
      <c r="J14" s="8">
        <f>I14-Входы!$C$75*12-Входы!$C$77-Входы!$C$78-Входы!$C$79*Входы!$C$8/Входы!$C$9</f>
        <v>-254780.4860555011</v>
      </c>
      <c r="K14" s="24" t="str">
        <f t="shared" si="1"/>
        <v>Да</v>
      </c>
    </row>
    <row r="15" spans="1:11" x14ac:dyDescent="0.25">
      <c r="A15" s="2">
        <v>28000</v>
      </c>
      <c r="B15" s="25">
        <v>0.5</v>
      </c>
      <c r="C15" s="25">
        <v>0.3</v>
      </c>
      <c r="D15" s="25">
        <v>0.98</v>
      </c>
      <c r="E15" s="19">
        <v>0</v>
      </c>
      <c r="F15" s="8">
        <f>A15*B15*C15*(1-D15)*(1-Входы!$C$73)*E15*12</f>
        <v>0</v>
      </c>
      <c r="G15" s="8">
        <f>(Входы!$C$67-Входы!$C$68)*Входы!$C$8/Входы!$C$9*E15*12</f>
        <v>0</v>
      </c>
      <c r="H15" s="8">
        <f>Входы!$C$5*Входы!$C$71*B15*C15*(1-D15)*E15*12</f>
        <v>0</v>
      </c>
      <c r="I15" s="8">
        <f t="shared" si="0"/>
        <v>0</v>
      </c>
      <c r="J15" s="8">
        <f>I15-Входы!$C$75*12-Входы!$C$77-Входы!$C$78-Входы!$C$79*Входы!$C$8/Входы!$C$9</f>
        <v>-411230.88905555877</v>
      </c>
      <c r="K15" s="24" t="str">
        <f t="shared" si="1"/>
        <v>Да</v>
      </c>
    </row>
    <row r="16" spans="1:11" x14ac:dyDescent="0.25">
      <c r="A16" s="2">
        <v>28000</v>
      </c>
      <c r="B16" s="25">
        <v>0.5</v>
      </c>
      <c r="C16" s="25">
        <v>0.3</v>
      </c>
      <c r="D16" s="25">
        <v>0.98</v>
      </c>
      <c r="E16" s="19">
        <v>1</v>
      </c>
      <c r="F16" s="8">
        <f>A16*B16*C16*(1-D16)*(1-Входы!$C$73)*E16*12</f>
        <v>927.36000000000081</v>
      </c>
      <c r="G16" s="8">
        <f>(Входы!$C$67-Входы!$C$68)*Входы!$C$8/Входы!$C$9*E16*12</f>
        <v>28039.00075001442</v>
      </c>
      <c r="H16" s="8">
        <f>Входы!$C$5*Входы!$C$71*B16*C16*(1-D16)*E16*12</f>
        <v>180.00000000000017</v>
      </c>
      <c r="I16" s="8">
        <f t="shared" si="0"/>
        <v>29146.360750014421</v>
      </c>
      <c r="J16" s="8">
        <f>I16-Входы!$C$75*12-Входы!$C$77-Входы!$C$78-Входы!$C$79*Входы!$C$8/Входы!$C$9</f>
        <v>-382084.52830554434</v>
      </c>
      <c r="K16" s="24" t="str">
        <f t="shared" si="1"/>
        <v>Да</v>
      </c>
    </row>
    <row r="17" spans="1:11" x14ac:dyDescent="0.25">
      <c r="A17" s="2">
        <v>28000</v>
      </c>
      <c r="B17" s="25">
        <v>0.5</v>
      </c>
      <c r="C17" s="25">
        <v>0.3</v>
      </c>
      <c r="D17" s="25">
        <v>0.98</v>
      </c>
      <c r="E17" s="19">
        <v>2</v>
      </c>
      <c r="F17" s="8">
        <f>A17*B17*C17*(1-D17)*(1-Входы!$C$73)*E17*12</f>
        <v>1854.7200000000016</v>
      </c>
      <c r="G17" s="8">
        <f>(Входы!$C$67-Входы!$C$68)*Входы!$C$8/Входы!$C$9*E17*12</f>
        <v>56078.00150002884</v>
      </c>
      <c r="H17" s="8">
        <f>Входы!$C$5*Входы!$C$71*B17*C17*(1-D17)*E17*12</f>
        <v>360.00000000000034</v>
      </c>
      <c r="I17" s="8">
        <f t="shared" si="0"/>
        <v>58292.721500028842</v>
      </c>
      <c r="J17" s="8">
        <f>I17-Входы!$C$75*12-Входы!$C$77-Входы!$C$78-Входы!$C$79*Входы!$C$8/Входы!$C$9</f>
        <v>-352938.16755552992</v>
      </c>
      <c r="K17" s="24" t="str">
        <f t="shared" si="1"/>
        <v>Да</v>
      </c>
    </row>
    <row r="18" spans="1:11" x14ac:dyDescent="0.25">
      <c r="A18" s="2">
        <v>28000</v>
      </c>
      <c r="B18" s="25">
        <v>0.5</v>
      </c>
      <c r="C18" s="25">
        <v>0.3</v>
      </c>
      <c r="D18" s="25">
        <v>0.98</v>
      </c>
      <c r="E18" s="19">
        <v>3</v>
      </c>
      <c r="F18" s="8">
        <f>A18*B18*C18*(1-D18)*(1-Входы!$C$73)*E18*12</f>
        <v>2782.0800000000027</v>
      </c>
      <c r="G18" s="8">
        <f>(Входы!$C$67-Входы!$C$68)*Входы!$C$8/Входы!$C$9*E18*12</f>
        <v>84117.002250043268</v>
      </c>
      <c r="H18" s="8">
        <f>Входы!$C$5*Входы!$C$71*B18*C18*(1-D18)*E18*12</f>
        <v>540.00000000000045</v>
      </c>
      <c r="I18" s="8">
        <f t="shared" si="0"/>
        <v>87439.08225004327</v>
      </c>
      <c r="J18" s="8">
        <f>I18-Входы!$C$75*12-Входы!$C$77-Входы!$C$78-Входы!$C$79*Входы!$C$8/Входы!$C$9</f>
        <v>-323791.80680551549</v>
      </c>
      <c r="K18" s="24" t="str">
        <f t="shared" si="1"/>
        <v>Да</v>
      </c>
    </row>
    <row r="19" spans="1:11" x14ac:dyDescent="0.25">
      <c r="A19" s="2">
        <v>28000</v>
      </c>
      <c r="B19" s="25">
        <v>0.5</v>
      </c>
      <c r="C19" s="25">
        <v>0.3</v>
      </c>
      <c r="D19" s="25">
        <v>0.98</v>
      </c>
      <c r="E19" s="19">
        <v>4</v>
      </c>
      <c r="F19" s="8">
        <f>A19*B19*C19*(1-D19)*(1-Входы!$C$73)*E19*12</f>
        <v>3709.4400000000032</v>
      </c>
      <c r="G19" s="8">
        <f>(Входы!$C$67-Входы!$C$68)*Входы!$C$8/Входы!$C$9*E19*12</f>
        <v>112156.00300005768</v>
      </c>
      <c r="H19" s="8">
        <f>Входы!$C$5*Входы!$C$71*B19*C19*(1-D19)*E19*12</f>
        <v>720.00000000000068</v>
      </c>
      <c r="I19" s="8">
        <f t="shared" si="0"/>
        <v>116585.44300005768</v>
      </c>
      <c r="J19" s="8">
        <f>I19-Входы!$C$75*12-Входы!$C$77-Входы!$C$78-Входы!$C$79*Входы!$C$8/Входы!$C$9</f>
        <v>-294645.44605550106</v>
      </c>
      <c r="K19" s="24" t="str">
        <f t="shared" si="1"/>
        <v>Да</v>
      </c>
    </row>
    <row r="20" spans="1:11" x14ac:dyDescent="0.25">
      <c r="A20" s="2">
        <v>28000</v>
      </c>
      <c r="B20" s="25">
        <v>0.5</v>
      </c>
      <c r="C20" s="25">
        <v>0.6</v>
      </c>
      <c r="D20" s="25">
        <v>0</v>
      </c>
      <c r="E20" s="19">
        <v>0</v>
      </c>
      <c r="F20" s="8">
        <f>A20*B20*C20*(1-D20)*(1-Входы!$C$73)*E20*12</f>
        <v>0</v>
      </c>
      <c r="G20" s="8">
        <f>(Входы!$C$67-Входы!$C$68)*Входы!$C$8/Входы!$C$9*E20*12</f>
        <v>0</v>
      </c>
      <c r="H20" s="8">
        <f>Входы!$C$5*Входы!$C$71*B20*C20*(1-D20)*E20*12</f>
        <v>0</v>
      </c>
      <c r="I20" s="8">
        <f t="shared" si="0"/>
        <v>0</v>
      </c>
      <c r="J20" s="8">
        <f>I20-Входы!$C$75*12-Входы!$C$77-Входы!$C$78-Входы!$C$79*Входы!$C$8/Входы!$C$9</f>
        <v>-411230.88905555877</v>
      </c>
      <c r="K20" s="24" t="str">
        <f t="shared" si="1"/>
        <v>Да</v>
      </c>
    </row>
    <row r="21" spans="1:11" x14ac:dyDescent="0.25">
      <c r="A21" s="2">
        <v>28000</v>
      </c>
      <c r="B21" s="25">
        <v>0.5</v>
      </c>
      <c r="C21" s="25">
        <v>0.6</v>
      </c>
      <c r="D21" s="25">
        <v>0</v>
      </c>
      <c r="E21" s="19">
        <v>1</v>
      </c>
      <c r="F21" s="8">
        <f>A21*B21*C21*(1-D21)*(1-Входы!$C$73)*E21*12</f>
        <v>92736</v>
      </c>
      <c r="G21" s="8">
        <f>(Входы!$C$67-Входы!$C$68)*Входы!$C$8/Входы!$C$9*E21*12</f>
        <v>28039.00075001442</v>
      </c>
      <c r="H21" s="8">
        <f>Входы!$C$5*Входы!$C$71*B21*C21*(1-D21)*E21*12</f>
        <v>18000</v>
      </c>
      <c r="I21" s="8">
        <f t="shared" si="0"/>
        <v>138775.00075001441</v>
      </c>
      <c r="J21" s="8">
        <f>I21-Входы!$C$75*12-Входы!$C$77-Входы!$C$78-Входы!$C$79*Входы!$C$8/Входы!$C$9</f>
        <v>-272455.88830554433</v>
      </c>
      <c r="K21" s="24" t="str">
        <f t="shared" si="1"/>
        <v>Да</v>
      </c>
    </row>
    <row r="22" spans="1:11" x14ac:dyDescent="0.25">
      <c r="A22" s="2">
        <v>28000</v>
      </c>
      <c r="B22" s="25">
        <v>0.5</v>
      </c>
      <c r="C22" s="25">
        <v>0.6</v>
      </c>
      <c r="D22" s="25">
        <v>0</v>
      </c>
      <c r="E22" s="19">
        <v>2</v>
      </c>
      <c r="F22" s="8">
        <f>A22*B22*C22*(1-D22)*(1-Входы!$C$73)*E22*12</f>
        <v>185472</v>
      </c>
      <c r="G22" s="8">
        <f>(Входы!$C$67-Входы!$C$68)*Входы!$C$8/Входы!$C$9*E22*12</f>
        <v>56078.00150002884</v>
      </c>
      <c r="H22" s="8">
        <f>Входы!$C$5*Входы!$C$71*B22*C22*(1-D22)*E22*12</f>
        <v>36000</v>
      </c>
      <c r="I22" s="8">
        <f t="shared" si="0"/>
        <v>277550.00150002883</v>
      </c>
      <c r="J22" s="8">
        <f>I22-Входы!$C$75*12-Входы!$C$77-Входы!$C$78-Входы!$C$79*Входы!$C$8/Входы!$C$9</f>
        <v>-133680.88755552995</v>
      </c>
      <c r="K22" s="24" t="str">
        <f t="shared" si="1"/>
        <v>Да</v>
      </c>
    </row>
    <row r="23" spans="1:11" x14ac:dyDescent="0.25">
      <c r="A23" s="2">
        <v>28000</v>
      </c>
      <c r="B23" s="25">
        <v>0.5</v>
      </c>
      <c r="C23" s="25">
        <v>0.6</v>
      </c>
      <c r="D23" s="25">
        <v>0</v>
      </c>
      <c r="E23" s="19">
        <v>3</v>
      </c>
      <c r="F23" s="8">
        <f>A23*B23*C23*(1-D23)*(1-Входы!$C$73)*E23*12</f>
        <v>278208</v>
      </c>
      <c r="G23" s="8">
        <f>(Входы!$C$67-Входы!$C$68)*Входы!$C$8/Входы!$C$9*E23*12</f>
        <v>84117.002250043268</v>
      </c>
      <c r="H23" s="8">
        <f>Входы!$C$5*Входы!$C$71*B23*C23*(1-D23)*E23*12</f>
        <v>54000</v>
      </c>
      <c r="I23" s="8">
        <f t="shared" si="0"/>
        <v>416325.00225004327</v>
      </c>
      <c r="J23" s="8">
        <f>I23-Входы!$C$75*12-Входы!$C$77-Входы!$C$78-Входы!$C$79*Входы!$C$8/Входы!$C$9</f>
        <v>5094.1131944845074</v>
      </c>
      <c r="K23" s="24" t="str">
        <f t="shared" si="1"/>
        <v>Нет</v>
      </c>
    </row>
    <row r="24" spans="1:11" x14ac:dyDescent="0.25">
      <c r="A24" s="2">
        <v>28000</v>
      </c>
      <c r="B24" s="25">
        <v>0.5</v>
      </c>
      <c r="C24" s="25">
        <v>0.6</v>
      </c>
      <c r="D24" s="25">
        <v>0</v>
      </c>
      <c r="E24" s="19">
        <v>4</v>
      </c>
      <c r="F24" s="8">
        <f>A24*B24*C24*(1-D24)*(1-Входы!$C$73)*E24*12</f>
        <v>370944</v>
      </c>
      <c r="G24" s="8">
        <f>(Входы!$C$67-Входы!$C$68)*Входы!$C$8/Входы!$C$9*E24*12</f>
        <v>112156.00300005768</v>
      </c>
      <c r="H24" s="8">
        <f>Входы!$C$5*Входы!$C$71*B24*C24*(1-D24)*E24*12</f>
        <v>72000</v>
      </c>
      <c r="I24" s="8">
        <f t="shared" si="0"/>
        <v>555100.00300005765</v>
      </c>
      <c r="J24" s="8">
        <f>I24-Входы!$C$75*12-Входы!$C$77-Входы!$C$78-Входы!$C$79*Входы!$C$8/Входы!$C$9</f>
        <v>143869.11394449888</v>
      </c>
      <c r="K24" s="24" t="str">
        <f t="shared" si="1"/>
        <v>Нет</v>
      </c>
    </row>
    <row r="25" spans="1:11" x14ac:dyDescent="0.25">
      <c r="A25" s="2">
        <v>28000</v>
      </c>
      <c r="B25" s="25">
        <v>0.5</v>
      </c>
      <c r="C25" s="25">
        <v>0.6</v>
      </c>
      <c r="D25" s="25">
        <v>0.8</v>
      </c>
      <c r="E25" s="19">
        <v>0</v>
      </c>
      <c r="F25" s="8">
        <f>A25*B25*C25*(1-D25)*(1-Входы!$C$73)*E25*12</f>
        <v>0</v>
      </c>
      <c r="G25" s="8">
        <f>(Входы!$C$67-Входы!$C$68)*Входы!$C$8/Входы!$C$9*E25*12</f>
        <v>0</v>
      </c>
      <c r="H25" s="8">
        <f>Входы!$C$5*Входы!$C$71*B25*C25*(1-D25)*E25*12</f>
        <v>0</v>
      </c>
      <c r="I25" s="8">
        <f t="shared" si="0"/>
        <v>0</v>
      </c>
      <c r="J25" s="8">
        <f>I25-Входы!$C$75*12-Входы!$C$77-Входы!$C$78-Входы!$C$79*Входы!$C$8/Входы!$C$9</f>
        <v>-411230.88905555877</v>
      </c>
      <c r="K25" s="24" t="str">
        <f t="shared" si="1"/>
        <v>Да</v>
      </c>
    </row>
    <row r="26" spans="1:11" x14ac:dyDescent="0.25">
      <c r="A26" s="2">
        <v>28000</v>
      </c>
      <c r="B26" s="25">
        <v>0.5</v>
      </c>
      <c r="C26" s="25">
        <v>0.6</v>
      </c>
      <c r="D26" s="25">
        <v>0.8</v>
      </c>
      <c r="E26" s="19">
        <v>1</v>
      </c>
      <c r="F26" s="8">
        <f>A26*B26*C26*(1-D26)*(1-Входы!$C$73)*E26*12</f>
        <v>18547.199999999997</v>
      </c>
      <c r="G26" s="8">
        <f>(Входы!$C$67-Входы!$C$68)*Входы!$C$8/Входы!$C$9*E26*12</f>
        <v>28039.00075001442</v>
      </c>
      <c r="H26" s="8">
        <f>Входы!$C$5*Входы!$C$71*B26*C26*(1-D26)*E26*12</f>
        <v>3599.9999999999991</v>
      </c>
      <c r="I26" s="8">
        <f t="shared" si="0"/>
        <v>50186.200750014417</v>
      </c>
      <c r="J26" s="8">
        <f>I26-Входы!$C$75*12-Входы!$C$77-Входы!$C$78-Входы!$C$79*Входы!$C$8/Входы!$C$9</f>
        <v>-361044.68830554438</v>
      </c>
      <c r="K26" s="24" t="str">
        <f t="shared" si="1"/>
        <v>Да</v>
      </c>
    </row>
    <row r="27" spans="1:11" x14ac:dyDescent="0.25">
      <c r="A27" s="2">
        <v>28000</v>
      </c>
      <c r="B27" s="25">
        <v>0.5</v>
      </c>
      <c r="C27" s="25">
        <v>0.6</v>
      </c>
      <c r="D27" s="25">
        <v>0.8</v>
      </c>
      <c r="E27" s="19">
        <v>2</v>
      </c>
      <c r="F27" s="8">
        <f>A27*B27*C27*(1-D27)*(1-Входы!$C$73)*E27*12</f>
        <v>37094.399999999994</v>
      </c>
      <c r="G27" s="8">
        <f>(Входы!$C$67-Входы!$C$68)*Входы!$C$8/Входы!$C$9*E27*12</f>
        <v>56078.00150002884</v>
      </c>
      <c r="H27" s="8">
        <f>Входы!$C$5*Входы!$C$71*B27*C27*(1-D27)*E27*12</f>
        <v>7199.9999999999982</v>
      </c>
      <c r="I27" s="8">
        <f t="shared" si="0"/>
        <v>100372.40150002883</v>
      </c>
      <c r="J27" s="8">
        <f>I27-Входы!$C$75*12-Входы!$C$77-Входы!$C$78-Входы!$C$79*Входы!$C$8/Входы!$C$9</f>
        <v>-310858.48755552992</v>
      </c>
      <c r="K27" s="24" t="str">
        <f t="shared" si="1"/>
        <v>Да</v>
      </c>
    </row>
    <row r="28" spans="1:11" x14ac:dyDescent="0.25">
      <c r="A28" s="2">
        <v>28000</v>
      </c>
      <c r="B28" s="25">
        <v>0.5</v>
      </c>
      <c r="C28" s="25">
        <v>0.6</v>
      </c>
      <c r="D28" s="25">
        <v>0.8</v>
      </c>
      <c r="E28" s="19">
        <v>3</v>
      </c>
      <c r="F28" s="8">
        <f>A28*B28*C28*(1-D28)*(1-Входы!$C$73)*E28*12</f>
        <v>55641.599999999991</v>
      </c>
      <c r="G28" s="8">
        <f>(Входы!$C$67-Входы!$C$68)*Входы!$C$8/Входы!$C$9*E28*12</f>
        <v>84117.002250043268</v>
      </c>
      <c r="H28" s="8">
        <f>Входы!$C$5*Входы!$C$71*B28*C28*(1-D28)*E28*12</f>
        <v>10799.999999999996</v>
      </c>
      <c r="I28" s="8">
        <f t="shared" si="0"/>
        <v>150558.60225004324</v>
      </c>
      <c r="J28" s="8">
        <f>I28-Входы!$C$75*12-Входы!$C$77-Входы!$C$78-Входы!$C$79*Входы!$C$8/Входы!$C$9</f>
        <v>-260672.28680551553</v>
      </c>
      <c r="K28" s="24" t="str">
        <f t="shared" si="1"/>
        <v>Да</v>
      </c>
    </row>
    <row r="29" spans="1:11" x14ac:dyDescent="0.25">
      <c r="A29" s="2">
        <v>28000</v>
      </c>
      <c r="B29" s="25">
        <v>0.5</v>
      </c>
      <c r="C29" s="25">
        <v>0.6</v>
      </c>
      <c r="D29" s="25">
        <v>0.8</v>
      </c>
      <c r="E29" s="19">
        <v>4</v>
      </c>
      <c r="F29" s="8">
        <f>A29*B29*C29*(1-D29)*(1-Входы!$C$73)*E29*12</f>
        <v>74188.799999999988</v>
      </c>
      <c r="G29" s="8">
        <f>(Входы!$C$67-Входы!$C$68)*Входы!$C$8/Входы!$C$9*E29*12</f>
        <v>112156.00300005768</v>
      </c>
      <c r="H29" s="8">
        <f>Входы!$C$5*Входы!$C$71*B29*C29*(1-D29)*E29*12</f>
        <v>14399.999999999996</v>
      </c>
      <c r="I29" s="8">
        <f t="shared" si="0"/>
        <v>200744.80300005767</v>
      </c>
      <c r="J29" s="8">
        <f>I29-Входы!$C$75*12-Входы!$C$77-Входы!$C$78-Входы!$C$79*Входы!$C$8/Входы!$C$9</f>
        <v>-210486.0860555011</v>
      </c>
      <c r="K29" s="24" t="str">
        <f t="shared" si="1"/>
        <v>Да</v>
      </c>
    </row>
    <row r="30" spans="1:11" x14ac:dyDescent="0.25">
      <c r="A30" s="2">
        <v>28000</v>
      </c>
      <c r="B30" s="25">
        <v>0.5</v>
      </c>
      <c r="C30" s="25">
        <v>0.6</v>
      </c>
      <c r="D30" s="25">
        <v>0.98</v>
      </c>
      <c r="E30" s="19">
        <v>0</v>
      </c>
      <c r="F30" s="8">
        <f>A30*B30*C30*(1-D30)*(1-Входы!$C$73)*E30*12</f>
        <v>0</v>
      </c>
      <c r="G30" s="8">
        <f>(Входы!$C$67-Входы!$C$68)*Входы!$C$8/Входы!$C$9*E30*12</f>
        <v>0</v>
      </c>
      <c r="H30" s="8">
        <f>Входы!$C$5*Входы!$C$71*B30*C30*(1-D30)*E30*12</f>
        <v>0</v>
      </c>
      <c r="I30" s="8">
        <f t="shared" si="0"/>
        <v>0</v>
      </c>
      <c r="J30" s="8">
        <f>I30-Входы!$C$75*12-Входы!$C$77-Входы!$C$78-Входы!$C$79*Входы!$C$8/Входы!$C$9</f>
        <v>-411230.88905555877</v>
      </c>
      <c r="K30" s="24" t="str">
        <f t="shared" si="1"/>
        <v>Да</v>
      </c>
    </row>
    <row r="31" spans="1:11" x14ac:dyDescent="0.25">
      <c r="A31" s="2">
        <v>28000</v>
      </c>
      <c r="B31" s="25">
        <v>0.5</v>
      </c>
      <c r="C31" s="25">
        <v>0.6</v>
      </c>
      <c r="D31" s="25">
        <v>0.98</v>
      </c>
      <c r="E31" s="19">
        <v>1</v>
      </c>
      <c r="F31" s="8">
        <f>A31*B31*C31*(1-D31)*(1-Входы!$C$73)*E31*12</f>
        <v>1854.7200000000016</v>
      </c>
      <c r="G31" s="8">
        <f>(Входы!$C$67-Входы!$C$68)*Входы!$C$8/Входы!$C$9*E31*12</f>
        <v>28039.00075001442</v>
      </c>
      <c r="H31" s="8">
        <f>Входы!$C$5*Входы!$C$71*B31*C31*(1-D31)*E31*12</f>
        <v>360.00000000000034</v>
      </c>
      <c r="I31" s="8">
        <f t="shared" si="0"/>
        <v>30253.720750014421</v>
      </c>
      <c r="J31" s="8">
        <f>I31-Входы!$C$75*12-Входы!$C$77-Входы!$C$78-Входы!$C$79*Входы!$C$8/Входы!$C$9</f>
        <v>-380977.16830554436</v>
      </c>
      <c r="K31" s="24" t="str">
        <f t="shared" si="1"/>
        <v>Да</v>
      </c>
    </row>
    <row r="32" spans="1:11" x14ac:dyDescent="0.25">
      <c r="A32" s="2">
        <v>28000</v>
      </c>
      <c r="B32" s="25">
        <v>0.5</v>
      </c>
      <c r="C32" s="25">
        <v>0.6</v>
      </c>
      <c r="D32" s="25">
        <v>0.98</v>
      </c>
      <c r="E32" s="19">
        <v>2</v>
      </c>
      <c r="F32" s="8">
        <f>A32*B32*C32*(1-D32)*(1-Входы!$C$73)*E32*12</f>
        <v>3709.4400000000032</v>
      </c>
      <c r="G32" s="8">
        <f>(Входы!$C$67-Входы!$C$68)*Входы!$C$8/Входы!$C$9*E32*12</f>
        <v>56078.00150002884</v>
      </c>
      <c r="H32" s="8">
        <f>Входы!$C$5*Входы!$C$71*B32*C32*(1-D32)*E32*12</f>
        <v>720.00000000000068</v>
      </c>
      <c r="I32" s="8">
        <f t="shared" si="0"/>
        <v>60507.441500028843</v>
      </c>
      <c r="J32" s="8">
        <f>I32-Входы!$C$75*12-Входы!$C$77-Входы!$C$78-Входы!$C$79*Входы!$C$8/Входы!$C$9</f>
        <v>-350723.44755552994</v>
      </c>
      <c r="K32" s="24" t="str">
        <f t="shared" si="1"/>
        <v>Да</v>
      </c>
    </row>
    <row r="33" spans="1:11" x14ac:dyDescent="0.25">
      <c r="A33" s="2">
        <v>28000</v>
      </c>
      <c r="B33" s="25">
        <v>0.5</v>
      </c>
      <c r="C33" s="25">
        <v>0.6</v>
      </c>
      <c r="D33" s="25">
        <v>0.98</v>
      </c>
      <c r="E33" s="19">
        <v>3</v>
      </c>
      <c r="F33" s="8">
        <f>A33*B33*C33*(1-D33)*(1-Входы!$C$73)*E33*12</f>
        <v>5564.1600000000053</v>
      </c>
      <c r="G33" s="8">
        <f>(Входы!$C$67-Входы!$C$68)*Входы!$C$8/Входы!$C$9*E33*12</f>
        <v>84117.002250043268</v>
      </c>
      <c r="H33" s="8">
        <f>Входы!$C$5*Входы!$C$71*B33*C33*(1-D33)*E33*12</f>
        <v>1080.0000000000009</v>
      </c>
      <c r="I33" s="8">
        <f t="shared" si="0"/>
        <v>90761.162250043271</v>
      </c>
      <c r="J33" s="8">
        <f>I33-Входы!$C$75*12-Входы!$C$77-Входы!$C$78-Входы!$C$79*Входы!$C$8/Входы!$C$9</f>
        <v>-320469.72680551553</v>
      </c>
      <c r="K33" s="24" t="str">
        <f t="shared" si="1"/>
        <v>Да</v>
      </c>
    </row>
    <row r="34" spans="1:11" x14ac:dyDescent="0.25">
      <c r="A34" s="2">
        <v>28000</v>
      </c>
      <c r="B34" s="25">
        <v>0.5</v>
      </c>
      <c r="C34" s="25">
        <v>0.6</v>
      </c>
      <c r="D34" s="25">
        <v>0.98</v>
      </c>
      <c r="E34" s="19">
        <v>4</v>
      </c>
      <c r="F34" s="8">
        <f>A34*B34*C34*(1-D34)*(1-Входы!$C$73)*E34*12</f>
        <v>7418.8800000000065</v>
      </c>
      <c r="G34" s="8">
        <f>(Входы!$C$67-Входы!$C$68)*Входы!$C$8/Входы!$C$9*E34*12</f>
        <v>112156.00300005768</v>
      </c>
      <c r="H34" s="8">
        <f>Входы!$C$5*Входы!$C$71*B34*C34*(1-D34)*E34*12</f>
        <v>1440.0000000000014</v>
      </c>
      <c r="I34" s="8">
        <f t="shared" si="0"/>
        <v>121014.88300005769</v>
      </c>
      <c r="J34" s="8">
        <f>I34-Входы!$C$75*12-Входы!$C$77-Входы!$C$78-Входы!$C$79*Входы!$C$8/Входы!$C$9</f>
        <v>-290216.00605550112</v>
      </c>
      <c r="K34" s="24" t="str">
        <f t="shared" si="1"/>
        <v>Да</v>
      </c>
    </row>
    <row r="35" spans="1:11" x14ac:dyDescent="0.25">
      <c r="A35" s="2">
        <v>28000</v>
      </c>
      <c r="B35" s="25">
        <v>0.5</v>
      </c>
      <c r="C35" s="25">
        <v>1</v>
      </c>
      <c r="D35" s="25">
        <v>0</v>
      </c>
      <c r="E35" s="19">
        <v>0</v>
      </c>
      <c r="F35" s="8">
        <f>A35*B35*C35*(1-D35)*(1-Входы!$C$73)*E35*12</f>
        <v>0</v>
      </c>
      <c r="G35" s="8">
        <f>(Входы!$C$67-Входы!$C$68)*Входы!$C$8/Входы!$C$9*E35*12</f>
        <v>0</v>
      </c>
      <c r="H35" s="8">
        <f>Входы!$C$5*Входы!$C$71*B35*C35*(1-D35)*E35*12</f>
        <v>0</v>
      </c>
      <c r="I35" s="8">
        <f t="shared" si="0"/>
        <v>0</v>
      </c>
      <c r="J35" s="8">
        <f>I35-Входы!$C$75*12-Входы!$C$77-Входы!$C$78-Входы!$C$79*Входы!$C$8/Входы!$C$9</f>
        <v>-411230.88905555877</v>
      </c>
      <c r="K35" s="24" t="str">
        <f t="shared" si="1"/>
        <v>Да</v>
      </c>
    </row>
    <row r="36" spans="1:11" x14ac:dyDescent="0.25">
      <c r="A36" s="2">
        <v>28000</v>
      </c>
      <c r="B36" s="25">
        <v>0.5</v>
      </c>
      <c r="C36" s="25">
        <v>1</v>
      </c>
      <c r="D36" s="25">
        <v>0</v>
      </c>
      <c r="E36" s="19">
        <v>1</v>
      </c>
      <c r="F36" s="8">
        <f>A36*B36*C36*(1-D36)*(1-Входы!$C$73)*E36*12</f>
        <v>154560</v>
      </c>
      <c r="G36" s="8">
        <f>(Входы!$C$67-Входы!$C$68)*Входы!$C$8/Входы!$C$9*E36*12</f>
        <v>28039.00075001442</v>
      </c>
      <c r="H36" s="8">
        <f>Входы!$C$5*Входы!$C$71*B36*C36*(1-D36)*E36*12</f>
        <v>30000</v>
      </c>
      <c r="I36" s="8">
        <f t="shared" si="0"/>
        <v>212599.00075001441</v>
      </c>
      <c r="J36" s="8">
        <f>I36-Входы!$C$75*12-Входы!$C$77-Входы!$C$78-Входы!$C$79*Входы!$C$8/Входы!$C$9</f>
        <v>-198631.88830554436</v>
      </c>
      <c r="K36" s="24" t="str">
        <f t="shared" si="1"/>
        <v>Да</v>
      </c>
    </row>
    <row r="37" spans="1:11" x14ac:dyDescent="0.25">
      <c r="A37" s="2">
        <v>28000</v>
      </c>
      <c r="B37" s="25">
        <v>0.5</v>
      </c>
      <c r="C37" s="25">
        <v>1</v>
      </c>
      <c r="D37" s="25">
        <v>0</v>
      </c>
      <c r="E37" s="19">
        <v>2</v>
      </c>
      <c r="F37" s="8">
        <f>A37*B37*C37*(1-D37)*(1-Входы!$C$73)*E37*12</f>
        <v>309120</v>
      </c>
      <c r="G37" s="8">
        <f>(Входы!$C$67-Входы!$C$68)*Входы!$C$8/Входы!$C$9*E37*12</f>
        <v>56078.00150002884</v>
      </c>
      <c r="H37" s="8">
        <f>Входы!$C$5*Входы!$C$71*B37*C37*(1-D37)*E37*12</f>
        <v>60000</v>
      </c>
      <c r="I37" s="8">
        <f t="shared" si="0"/>
        <v>425198.00150002883</v>
      </c>
      <c r="J37" s="8">
        <f>I37-Входы!$C$75*12-Входы!$C$77-Входы!$C$78-Входы!$C$79*Входы!$C$8/Входы!$C$9</f>
        <v>13967.112444470065</v>
      </c>
      <c r="K37" s="24" t="str">
        <f t="shared" si="1"/>
        <v>Нет</v>
      </c>
    </row>
    <row r="38" spans="1:11" x14ac:dyDescent="0.25">
      <c r="A38" s="2">
        <v>28000</v>
      </c>
      <c r="B38" s="25">
        <v>0.5</v>
      </c>
      <c r="C38" s="25">
        <v>1</v>
      </c>
      <c r="D38" s="25">
        <v>0</v>
      </c>
      <c r="E38" s="19">
        <v>3</v>
      </c>
      <c r="F38" s="8">
        <f>A38*B38*C38*(1-D38)*(1-Входы!$C$73)*E38*12</f>
        <v>463680</v>
      </c>
      <c r="G38" s="8">
        <f>(Входы!$C$67-Входы!$C$68)*Входы!$C$8/Входы!$C$9*E38*12</f>
        <v>84117.002250043268</v>
      </c>
      <c r="H38" s="8">
        <f>Входы!$C$5*Входы!$C$71*B38*C38*(1-D38)*E38*12</f>
        <v>90000</v>
      </c>
      <c r="I38" s="8">
        <f t="shared" si="0"/>
        <v>637797.00225004321</v>
      </c>
      <c r="J38" s="8">
        <f>I38-Входы!$C$75*12-Входы!$C$77-Входы!$C$78-Входы!$C$79*Входы!$C$8/Входы!$C$9</f>
        <v>226566.11319448444</v>
      </c>
      <c r="K38" s="24" t="str">
        <f t="shared" si="1"/>
        <v>Нет</v>
      </c>
    </row>
    <row r="39" spans="1:11" x14ac:dyDescent="0.25">
      <c r="A39" s="2">
        <v>28000</v>
      </c>
      <c r="B39" s="25">
        <v>0.5</v>
      </c>
      <c r="C39" s="25">
        <v>1</v>
      </c>
      <c r="D39" s="25">
        <v>0</v>
      </c>
      <c r="E39" s="19">
        <v>4</v>
      </c>
      <c r="F39" s="8">
        <f>A39*B39*C39*(1-D39)*(1-Входы!$C$73)*E39*12</f>
        <v>618240</v>
      </c>
      <c r="G39" s="8">
        <f>(Входы!$C$67-Входы!$C$68)*Входы!$C$8/Входы!$C$9*E39*12</f>
        <v>112156.00300005768</v>
      </c>
      <c r="H39" s="8">
        <f>Входы!$C$5*Входы!$C$71*B39*C39*(1-D39)*E39*12</f>
        <v>120000</v>
      </c>
      <c r="I39" s="8">
        <f t="shared" si="0"/>
        <v>850396.00300005765</v>
      </c>
      <c r="J39" s="8">
        <f>I39-Входы!$C$75*12-Входы!$C$77-Входы!$C$78-Входы!$C$79*Входы!$C$8/Входы!$C$9</f>
        <v>439165.11394449888</v>
      </c>
      <c r="K39" s="24" t="str">
        <f t="shared" si="1"/>
        <v>Нет</v>
      </c>
    </row>
    <row r="40" spans="1:11" x14ac:dyDescent="0.25">
      <c r="A40" s="2">
        <v>28000</v>
      </c>
      <c r="B40" s="25">
        <v>0.5</v>
      </c>
      <c r="C40" s="25">
        <v>1</v>
      </c>
      <c r="D40" s="25">
        <v>0.8</v>
      </c>
      <c r="E40" s="19">
        <v>0</v>
      </c>
      <c r="F40" s="8">
        <f>A40*B40*C40*(1-D40)*(1-Входы!$C$73)*E40*12</f>
        <v>0</v>
      </c>
      <c r="G40" s="8">
        <f>(Входы!$C$67-Входы!$C$68)*Входы!$C$8/Входы!$C$9*E40*12</f>
        <v>0</v>
      </c>
      <c r="H40" s="8">
        <f>Входы!$C$5*Входы!$C$71*B40*C40*(1-D40)*E40*12</f>
        <v>0</v>
      </c>
      <c r="I40" s="8">
        <f t="shared" si="0"/>
        <v>0</v>
      </c>
      <c r="J40" s="8">
        <f>I40-Входы!$C$75*12-Входы!$C$77-Входы!$C$78-Входы!$C$79*Входы!$C$8/Входы!$C$9</f>
        <v>-411230.88905555877</v>
      </c>
      <c r="K40" s="24" t="str">
        <f t="shared" si="1"/>
        <v>Да</v>
      </c>
    </row>
    <row r="41" spans="1:11" x14ac:dyDescent="0.25">
      <c r="A41" s="2">
        <v>28000</v>
      </c>
      <c r="B41" s="25">
        <v>0.5</v>
      </c>
      <c r="C41" s="25">
        <v>1</v>
      </c>
      <c r="D41" s="25">
        <v>0.8</v>
      </c>
      <c r="E41" s="19">
        <v>1</v>
      </c>
      <c r="F41" s="8">
        <f>A41*B41*C41*(1-D41)*(1-Входы!$C$73)*E41*12</f>
        <v>30911.999999999993</v>
      </c>
      <c r="G41" s="8">
        <f>(Входы!$C$67-Входы!$C$68)*Входы!$C$8/Входы!$C$9*E41*12</f>
        <v>28039.00075001442</v>
      </c>
      <c r="H41" s="8">
        <f>Входы!$C$5*Входы!$C$71*B41*C41*(1-D41)*E41*12</f>
        <v>5999.9999999999982</v>
      </c>
      <c r="I41" s="8">
        <f t="shared" si="0"/>
        <v>64951.000750014413</v>
      </c>
      <c r="J41" s="8">
        <f>I41-Входы!$C$75*12-Входы!$C$77-Входы!$C$78-Входы!$C$79*Входы!$C$8/Входы!$C$9</f>
        <v>-346279.88830554433</v>
      </c>
      <c r="K41" s="24" t="str">
        <f t="shared" si="1"/>
        <v>Да</v>
      </c>
    </row>
    <row r="42" spans="1:11" x14ac:dyDescent="0.25">
      <c r="A42" s="2">
        <v>28000</v>
      </c>
      <c r="B42" s="25">
        <v>0.5</v>
      </c>
      <c r="C42" s="25">
        <v>1</v>
      </c>
      <c r="D42" s="25">
        <v>0.8</v>
      </c>
      <c r="E42" s="19">
        <v>2</v>
      </c>
      <c r="F42" s="8">
        <f>A42*B42*C42*(1-D42)*(1-Входы!$C$73)*E42*12</f>
        <v>61823.999999999985</v>
      </c>
      <c r="G42" s="8">
        <f>(Входы!$C$67-Входы!$C$68)*Входы!$C$8/Входы!$C$9*E42*12</f>
        <v>56078.00150002884</v>
      </c>
      <c r="H42" s="8">
        <f>Входы!$C$5*Входы!$C$71*B42*C42*(1-D42)*E42*12</f>
        <v>11999.999999999996</v>
      </c>
      <c r="I42" s="8">
        <f t="shared" si="0"/>
        <v>129902.00150002883</v>
      </c>
      <c r="J42" s="8">
        <f>I42-Входы!$C$75*12-Входы!$C$77-Входы!$C$78-Входы!$C$79*Входы!$C$8/Входы!$C$9</f>
        <v>-281328.88755552995</v>
      </c>
      <c r="K42" s="24" t="str">
        <f t="shared" si="1"/>
        <v>Да</v>
      </c>
    </row>
    <row r="43" spans="1:11" x14ac:dyDescent="0.25">
      <c r="A43" s="2">
        <v>28000</v>
      </c>
      <c r="B43" s="25">
        <v>0.5</v>
      </c>
      <c r="C43" s="25">
        <v>1</v>
      </c>
      <c r="D43" s="25">
        <v>0.8</v>
      </c>
      <c r="E43" s="19">
        <v>3</v>
      </c>
      <c r="F43" s="8">
        <f>A43*B43*C43*(1-D43)*(1-Входы!$C$73)*E43*12</f>
        <v>92735.999999999971</v>
      </c>
      <c r="G43" s="8">
        <f>(Входы!$C$67-Входы!$C$68)*Входы!$C$8/Входы!$C$9*E43*12</f>
        <v>84117.002250043268</v>
      </c>
      <c r="H43" s="8">
        <f>Входы!$C$5*Входы!$C$71*B43*C43*(1-D43)*E43*12</f>
        <v>17999.999999999993</v>
      </c>
      <c r="I43" s="8">
        <f t="shared" si="0"/>
        <v>194853.00225004324</v>
      </c>
      <c r="J43" s="8">
        <f>I43-Входы!$C$75*12-Входы!$C$77-Входы!$C$78-Входы!$C$79*Входы!$C$8/Входы!$C$9</f>
        <v>-216377.88680551553</v>
      </c>
      <c r="K43" s="24" t="str">
        <f t="shared" si="1"/>
        <v>Да</v>
      </c>
    </row>
    <row r="44" spans="1:11" x14ac:dyDescent="0.25">
      <c r="A44" s="2">
        <v>28000</v>
      </c>
      <c r="B44" s="25">
        <v>0.5</v>
      </c>
      <c r="C44" s="25">
        <v>1</v>
      </c>
      <c r="D44" s="25">
        <v>0.8</v>
      </c>
      <c r="E44" s="19">
        <v>4</v>
      </c>
      <c r="F44" s="8">
        <f>A44*B44*C44*(1-D44)*(1-Входы!$C$73)*E44*12</f>
        <v>123647.99999999997</v>
      </c>
      <c r="G44" s="8">
        <f>(Входы!$C$67-Входы!$C$68)*Входы!$C$8/Входы!$C$9*E44*12</f>
        <v>112156.00300005768</v>
      </c>
      <c r="H44" s="8">
        <f>Входы!$C$5*Входы!$C$71*B44*C44*(1-D44)*E44*12</f>
        <v>23999.999999999993</v>
      </c>
      <c r="I44" s="8">
        <f t="shared" si="0"/>
        <v>259804.00300005765</v>
      </c>
      <c r="J44" s="8">
        <f>I44-Входы!$C$75*12-Входы!$C$77-Входы!$C$78-Входы!$C$79*Входы!$C$8/Входы!$C$9</f>
        <v>-151426.88605550112</v>
      </c>
      <c r="K44" s="24" t="str">
        <f t="shared" si="1"/>
        <v>Да</v>
      </c>
    </row>
    <row r="45" spans="1:11" x14ac:dyDescent="0.25">
      <c r="A45" s="2">
        <v>28000</v>
      </c>
      <c r="B45" s="25">
        <v>0.5</v>
      </c>
      <c r="C45" s="25">
        <v>1</v>
      </c>
      <c r="D45" s="25">
        <v>0.98</v>
      </c>
      <c r="E45" s="19">
        <v>0</v>
      </c>
      <c r="F45" s="8">
        <f>A45*B45*C45*(1-D45)*(1-Входы!$C$73)*E45*12</f>
        <v>0</v>
      </c>
      <c r="G45" s="8">
        <f>(Входы!$C$67-Входы!$C$68)*Входы!$C$8/Входы!$C$9*E45*12</f>
        <v>0</v>
      </c>
      <c r="H45" s="8">
        <f>Входы!$C$5*Входы!$C$71*B45*C45*(1-D45)*E45*12</f>
        <v>0</v>
      </c>
      <c r="I45" s="8">
        <f t="shared" si="0"/>
        <v>0</v>
      </c>
      <c r="J45" s="8">
        <f>I45-Входы!$C$75*12-Входы!$C$77-Входы!$C$78-Входы!$C$79*Входы!$C$8/Входы!$C$9</f>
        <v>-411230.88905555877</v>
      </c>
      <c r="K45" s="24" t="str">
        <f t="shared" si="1"/>
        <v>Да</v>
      </c>
    </row>
    <row r="46" spans="1:11" x14ac:dyDescent="0.25">
      <c r="A46" s="2">
        <v>28000</v>
      </c>
      <c r="B46" s="25">
        <v>0.5</v>
      </c>
      <c r="C46" s="25">
        <v>1</v>
      </c>
      <c r="D46" s="25">
        <v>0.98</v>
      </c>
      <c r="E46" s="19">
        <v>1</v>
      </c>
      <c r="F46" s="8">
        <f>A46*B46*C46*(1-D46)*(1-Входы!$C$73)*E46*12</f>
        <v>3091.2000000000025</v>
      </c>
      <c r="G46" s="8">
        <f>(Входы!$C$67-Входы!$C$68)*Входы!$C$8/Входы!$C$9*E46*12</f>
        <v>28039.00075001442</v>
      </c>
      <c r="H46" s="8">
        <f>Входы!$C$5*Входы!$C$71*B46*C46*(1-D46)*E46*12</f>
        <v>600.00000000000045</v>
      </c>
      <c r="I46" s="8">
        <f t="shared" si="0"/>
        <v>31730.200750014425</v>
      </c>
      <c r="J46" s="8">
        <f>I46-Входы!$C$75*12-Входы!$C$77-Входы!$C$78-Входы!$C$79*Входы!$C$8/Входы!$C$9</f>
        <v>-379500.68830554438</v>
      </c>
      <c r="K46" s="24" t="str">
        <f t="shared" si="1"/>
        <v>Да</v>
      </c>
    </row>
    <row r="47" spans="1:11" x14ac:dyDescent="0.25">
      <c r="A47" s="2">
        <v>28000</v>
      </c>
      <c r="B47" s="25">
        <v>0.5</v>
      </c>
      <c r="C47" s="25">
        <v>1</v>
      </c>
      <c r="D47" s="25">
        <v>0.98</v>
      </c>
      <c r="E47" s="19">
        <v>2</v>
      </c>
      <c r="F47" s="8">
        <f>A47*B47*C47*(1-D47)*(1-Входы!$C$73)*E47*12</f>
        <v>6182.4000000000051</v>
      </c>
      <c r="G47" s="8">
        <f>(Входы!$C$67-Входы!$C$68)*Входы!$C$8/Входы!$C$9*E47*12</f>
        <v>56078.00150002884</v>
      </c>
      <c r="H47" s="8">
        <f>Входы!$C$5*Входы!$C$71*B47*C47*(1-D47)*E47*12</f>
        <v>1200.0000000000009</v>
      </c>
      <c r="I47" s="8">
        <f t="shared" si="0"/>
        <v>63460.401500028849</v>
      </c>
      <c r="J47" s="8">
        <f>I47-Входы!$C$75*12-Входы!$C$77-Входы!$C$78-Входы!$C$79*Входы!$C$8/Входы!$C$9</f>
        <v>-347770.48755552992</v>
      </c>
      <c r="K47" s="24" t="str">
        <f t="shared" si="1"/>
        <v>Да</v>
      </c>
    </row>
    <row r="48" spans="1:11" x14ac:dyDescent="0.25">
      <c r="A48" s="2">
        <v>28000</v>
      </c>
      <c r="B48" s="25">
        <v>0.5</v>
      </c>
      <c r="C48" s="25">
        <v>1</v>
      </c>
      <c r="D48" s="25">
        <v>0.98</v>
      </c>
      <c r="E48" s="19">
        <v>3</v>
      </c>
      <c r="F48" s="8">
        <f>A48*B48*C48*(1-D48)*(1-Входы!$C$73)*E48*12</f>
        <v>9273.6000000000076</v>
      </c>
      <c r="G48" s="8">
        <f>(Входы!$C$67-Входы!$C$68)*Входы!$C$8/Входы!$C$9*E48*12</f>
        <v>84117.002250043268</v>
      </c>
      <c r="H48" s="8">
        <f>Входы!$C$5*Входы!$C$71*B48*C48*(1-D48)*E48*12</f>
        <v>1800.0000000000014</v>
      </c>
      <c r="I48" s="8">
        <f t="shared" si="0"/>
        <v>95190.602250043274</v>
      </c>
      <c r="J48" s="8">
        <f>I48-Входы!$C$75*12-Входы!$C$77-Входы!$C$78-Входы!$C$79*Входы!$C$8/Входы!$C$9</f>
        <v>-316040.28680551547</v>
      </c>
      <c r="K48" s="24" t="str">
        <f t="shared" si="1"/>
        <v>Да</v>
      </c>
    </row>
    <row r="49" spans="1:11" x14ac:dyDescent="0.25">
      <c r="A49" s="2">
        <v>28000</v>
      </c>
      <c r="B49" s="25">
        <v>0.5</v>
      </c>
      <c r="C49" s="25">
        <v>1</v>
      </c>
      <c r="D49" s="25">
        <v>0.98</v>
      </c>
      <c r="E49" s="19">
        <v>4</v>
      </c>
      <c r="F49" s="8">
        <f>A49*B49*C49*(1-D49)*(1-Входы!$C$73)*E49*12</f>
        <v>12364.80000000001</v>
      </c>
      <c r="G49" s="8">
        <f>(Входы!$C$67-Входы!$C$68)*Входы!$C$8/Входы!$C$9*E49*12</f>
        <v>112156.00300005768</v>
      </c>
      <c r="H49" s="8">
        <f>Входы!$C$5*Входы!$C$71*B49*C49*(1-D49)*E49*12</f>
        <v>2400.0000000000018</v>
      </c>
      <c r="I49" s="8">
        <f t="shared" si="0"/>
        <v>126920.8030000577</v>
      </c>
      <c r="J49" s="8">
        <f>I49-Входы!$C$75*12-Входы!$C$77-Входы!$C$78-Входы!$C$79*Входы!$C$8/Входы!$C$9</f>
        <v>-284310.08605550107</v>
      </c>
      <c r="K49" s="24" t="str">
        <f t="shared" si="1"/>
        <v>Да</v>
      </c>
    </row>
    <row r="50" spans="1:11" x14ac:dyDescent="0.25">
      <c r="A50" s="2">
        <v>28000</v>
      </c>
      <c r="B50" s="25">
        <v>0.8</v>
      </c>
      <c r="C50" s="25">
        <v>0.3</v>
      </c>
      <c r="D50" s="25">
        <v>0</v>
      </c>
      <c r="E50" s="19">
        <v>0</v>
      </c>
      <c r="F50" s="8">
        <f>A50*B50*C50*(1-D50)*(1-Входы!$C$73)*E50*12</f>
        <v>0</v>
      </c>
      <c r="G50" s="8">
        <f>(Входы!$C$67-Входы!$C$68)*Входы!$C$8/Входы!$C$9*E50*12</f>
        <v>0</v>
      </c>
      <c r="H50" s="8">
        <f>Входы!$C$5*Входы!$C$71*B50*C50*(1-D50)*E50*12</f>
        <v>0</v>
      </c>
      <c r="I50" s="8">
        <f t="shared" si="0"/>
        <v>0</v>
      </c>
      <c r="J50" s="8">
        <f>I50-Входы!$C$75*12-Входы!$C$77-Входы!$C$78-Входы!$C$79*Входы!$C$8/Входы!$C$9</f>
        <v>-411230.88905555877</v>
      </c>
      <c r="K50" s="24" t="str">
        <f t="shared" si="1"/>
        <v>Да</v>
      </c>
    </row>
    <row r="51" spans="1:11" x14ac:dyDescent="0.25">
      <c r="A51" s="2">
        <v>28000</v>
      </c>
      <c r="B51" s="25">
        <v>0.8</v>
      </c>
      <c r="C51" s="25">
        <v>0.3</v>
      </c>
      <c r="D51" s="25">
        <v>0</v>
      </c>
      <c r="E51" s="19">
        <v>1</v>
      </c>
      <c r="F51" s="8">
        <f>A51*B51*C51*(1-D51)*(1-Входы!$C$73)*E51*12</f>
        <v>74188.800000000003</v>
      </c>
      <c r="G51" s="8">
        <f>(Входы!$C$67-Входы!$C$68)*Входы!$C$8/Входы!$C$9*E51*12</f>
        <v>28039.00075001442</v>
      </c>
      <c r="H51" s="8">
        <f>Входы!$C$5*Входы!$C$71*B51*C51*(1-D51)*E51*12</f>
        <v>14400</v>
      </c>
      <c r="I51" s="8">
        <f t="shared" si="0"/>
        <v>116627.80075001443</v>
      </c>
      <c r="J51" s="8">
        <f>I51-Входы!$C$75*12-Входы!$C$77-Входы!$C$78-Входы!$C$79*Входы!$C$8/Входы!$C$9</f>
        <v>-294603.08830554434</v>
      </c>
      <c r="K51" s="24" t="str">
        <f t="shared" si="1"/>
        <v>Да</v>
      </c>
    </row>
    <row r="52" spans="1:11" x14ac:dyDescent="0.25">
      <c r="A52" s="2">
        <v>28000</v>
      </c>
      <c r="B52" s="25">
        <v>0.8</v>
      </c>
      <c r="C52" s="25">
        <v>0.3</v>
      </c>
      <c r="D52" s="25">
        <v>0</v>
      </c>
      <c r="E52" s="19">
        <v>2</v>
      </c>
      <c r="F52" s="8">
        <f>A52*B52*C52*(1-D52)*(1-Входы!$C$73)*E52*12</f>
        <v>148377.60000000001</v>
      </c>
      <c r="G52" s="8">
        <f>(Входы!$C$67-Входы!$C$68)*Входы!$C$8/Входы!$C$9*E52*12</f>
        <v>56078.00150002884</v>
      </c>
      <c r="H52" s="8">
        <f>Входы!$C$5*Входы!$C$71*B52*C52*(1-D52)*E52*12</f>
        <v>28800</v>
      </c>
      <c r="I52" s="8">
        <f t="shared" si="0"/>
        <v>233255.60150002886</v>
      </c>
      <c r="J52" s="8">
        <f>I52-Входы!$C$75*12-Входы!$C$77-Входы!$C$78-Входы!$C$79*Входы!$C$8/Входы!$C$9</f>
        <v>-177975.28755552991</v>
      </c>
      <c r="K52" s="24" t="str">
        <f t="shared" si="1"/>
        <v>Да</v>
      </c>
    </row>
    <row r="53" spans="1:11" x14ac:dyDescent="0.25">
      <c r="A53" s="2">
        <v>28000</v>
      </c>
      <c r="B53" s="25">
        <v>0.8</v>
      </c>
      <c r="C53" s="25">
        <v>0.3</v>
      </c>
      <c r="D53" s="25">
        <v>0</v>
      </c>
      <c r="E53" s="19">
        <v>3</v>
      </c>
      <c r="F53" s="8">
        <f>A53*B53*C53*(1-D53)*(1-Входы!$C$73)*E53*12</f>
        <v>222566.40000000002</v>
      </c>
      <c r="G53" s="8">
        <f>(Входы!$C$67-Входы!$C$68)*Входы!$C$8/Входы!$C$9*E53*12</f>
        <v>84117.002250043268</v>
      </c>
      <c r="H53" s="8">
        <f>Входы!$C$5*Входы!$C$71*B53*C53*(1-D53)*E53*12</f>
        <v>43200</v>
      </c>
      <c r="I53" s="8">
        <f t="shared" si="0"/>
        <v>349883.40225004329</v>
      </c>
      <c r="J53" s="8">
        <f>I53-Входы!$C$75*12-Входы!$C$77-Входы!$C$78-Входы!$C$79*Входы!$C$8/Входы!$C$9</f>
        <v>-61347.486805515466</v>
      </c>
      <c r="K53" s="24" t="str">
        <f t="shared" si="1"/>
        <v>Да</v>
      </c>
    </row>
    <row r="54" spans="1:11" x14ac:dyDescent="0.25">
      <c r="A54" s="2">
        <v>28000</v>
      </c>
      <c r="B54" s="25">
        <v>0.8</v>
      </c>
      <c r="C54" s="25">
        <v>0.3</v>
      </c>
      <c r="D54" s="25">
        <v>0</v>
      </c>
      <c r="E54" s="19">
        <v>4</v>
      </c>
      <c r="F54" s="8">
        <f>A54*B54*C54*(1-D54)*(1-Входы!$C$73)*E54*12</f>
        <v>296755.20000000001</v>
      </c>
      <c r="G54" s="8">
        <f>(Входы!$C$67-Входы!$C$68)*Входы!$C$8/Входы!$C$9*E54*12</f>
        <v>112156.00300005768</v>
      </c>
      <c r="H54" s="8">
        <f>Входы!$C$5*Входы!$C$71*B54*C54*(1-D54)*E54*12</f>
        <v>57600</v>
      </c>
      <c r="I54" s="8">
        <f t="shared" si="0"/>
        <v>466511.20300005772</v>
      </c>
      <c r="J54" s="8">
        <f>I54-Входы!$C$75*12-Входы!$C$77-Входы!$C$78-Входы!$C$79*Входы!$C$8/Входы!$C$9</f>
        <v>55280.313944498965</v>
      </c>
      <c r="K54" s="24" t="str">
        <f t="shared" si="1"/>
        <v>Нет</v>
      </c>
    </row>
    <row r="55" spans="1:11" x14ac:dyDescent="0.25">
      <c r="A55" s="2">
        <v>28000</v>
      </c>
      <c r="B55" s="25">
        <v>0.8</v>
      </c>
      <c r="C55" s="25">
        <v>0.3</v>
      </c>
      <c r="D55" s="25">
        <v>0.8</v>
      </c>
      <c r="E55" s="19">
        <v>0</v>
      </c>
      <c r="F55" s="8">
        <f>A55*B55*C55*(1-D55)*(1-Входы!$C$73)*E55*12</f>
        <v>0</v>
      </c>
      <c r="G55" s="8">
        <f>(Входы!$C$67-Входы!$C$68)*Входы!$C$8/Входы!$C$9*E55*12</f>
        <v>0</v>
      </c>
      <c r="H55" s="8">
        <f>Входы!$C$5*Входы!$C$71*B55*C55*(1-D55)*E55*12</f>
        <v>0</v>
      </c>
      <c r="I55" s="8">
        <f t="shared" si="0"/>
        <v>0</v>
      </c>
      <c r="J55" s="8">
        <f>I55-Входы!$C$75*12-Входы!$C$77-Входы!$C$78-Входы!$C$79*Входы!$C$8/Входы!$C$9</f>
        <v>-411230.88905555877</v>
      </c>
      <c r="K55" s="24" t="str">
        <f t="shared" si="1"/>
        <v>Да</v>
      </c>
    </row>
    <row r="56" spans="1:11" x14ac:dyDescent="0.25">
      <c r="A56" s="2">
        <v>28000</v>
      </c>
      <c r="B56" s="25">
        <v>0.8</v>
      </c>
      <c r="C56" s="25">
        <v>0.3</v>
      </c>
      <c r="D56" s="25">
        <v>0.8</v>
      </c>
      <c r="E56" s="19">
        <v>1</v>
      </c>
      <c r="F56" s="8">
        <f>A56*B56*C56*(1-D56)*(1-Входы!$C$73)*E56*12</f>
        <v>14837.759999999998</v>
      </c>
      <c r="G56" s="8">
        <f>(Входы!$C$67-Входы!$C$68)*Входы!$C$8/Входы!$C$9*E56*12</f>
        <v>28039.00075001442</v>
      </c>
      <c r="H56" s="8">
        <f>Входы!$C$5*Входы!$C$71*B56*C56*(1-D56)*E56*12</f>
        <v>2879.9999999999991</v>
      </c>
      <c r="I56" s="8">
        <f t="shared" si="0"/>
        <v>45756.760750014422</v>
      </c>
      <c r="J56" s="8">
        <f>I56-Входы!$C$75*12-Входы!$C$77-Входы!$C$78-Входы!$C$79*Входы!$C$8/Входы!$C$9</f>
        <v>-365474.12830554432</v>
      </c>
      <c r="K56" s="24" t="str">
        <f t="shared" si="1"/>
        <v>Да</v>
      </c>
    </row>
    <row r="57" spans="1:11" x14ac:dyDescent="0.25">
      <c r="A57" s="2">
        <v>28000</v>
      </c>
      <c r="B57" s="25">
        <v>0.8</v>
      </c>
      <c r="C57" s="25">
        <v>0.3</v>
      </c>
      <c r="D57" s="25">
        <v>0.8</v>
      </c>
      <c r="E57" s="19">
        <v>2</v>
      </c>
      <c r="F57" s="8">
        <f>A57*B57*C57*(1-D57)*(1-Входы!$C$73)*E57*12</f>
        <v>29675.519999999997</v>
      </c>
      <c r="G57" s="8">
        <f>(Входы!$C$67-Входы!$C$68)*Входы!$C$8/Входы!$C$9*E57*12</f>
        <v>56078.00150002884</v>
      </c>
      <c r="H57" s="8">
        <f>Входы!$C$5*Входы!$C$71*B57*C57*(1-D57)*E57*12</f>
        <v>5759.9999999999982</v>
      </c>
      <c r="I57" s="8">
        <f t="shared" si="0"/>
        <v>91513.521500028844</v>
      </c>
      <c r="J57" s="8">
        <f>I57-Входы!$C$75*12-Входы!$C$77-Входы!$C$78-Входы!$C$79*Входы!$C$8/Входы!$C$9</f>
        <v>-319717.36755552993</v>
      </c>
      <c r="K57" s="24" t="str">
        <f t="shared" si="1"/>
        <v>Да</v>
      </c>
    </row>
    <row r="58" spans="1:11" x14ac:dyDescent="0.25">
      <c r="A58" s="2">
        <v>28000</v>
      </c>
      <c r="B58" s="25">
        <v>0.8</v>
      </c>
      <c r="C58" s="25">
        <v>0.3</v>
      </c>
      <c r="D58" s="25">
        <v>0.8</v>
      </c>
      <c r="E58" s="19">
        <v>3</v>
      </c>
      <c r="F58" s="8">
        <f>A58*B58*C58*(1-D58)*(1-Входы!$C$73)*E58*12</f>
        <v>44513.279999999999</v>
      </c>
      <c r="G58" s="8">
        <f>(Входы!$C$67-Входы!$C$68)*Входы!$C$8/Входы!$C$9*E58*12</f>
        <v>84117.002250043268</v>
      </c>
      <c r="H58" s="8">
        <f>Входы!$C$5*Входы!$C$71*B58*C58*(1-D58)*E58*12</f>
        <v>8639.9999999999964</v>
      </c>
      <c r="I58" s="8">
        <f t="shared" si="0"/>
        <v>137270.28225004327</v>
      </c>
      <c r="J58" s="8">
        <f>I58-Входы!$C$75*12-Входы!$C$77-Входы!$C$78-Входы!$C$79*Входы!$C$8/Входы!$C$9</f>
        <v>-273960.60680551553</v>
      </c>
      <c r="K58" s="24" t="str">
        <f t="shared" si="1"/>
        <v>Да</v>
      </c>
    </row>
    <row r="59" spans="1:11" x14ac:dyDescent="0.25">
      <c r="A59" s="2">
        <v>28000</v>
      </c>
      <c r="B59" s="25">
        <v>0.8</v>
      </c>
      <c r="C59" s="25">
        <v>0.3</v>
      </c>
      <c r="D59" s="25">
        <v>0.8</v>
      </c>
      <c r="E59" s="19">
        <v>4</v>
      </c>
      <c r="F59" s="8">
        <f>A59*B59*C59*(1-D59)*(1-Входы!$C$73)*E59*12</f>
        <v>59351.039999999994</v>
      </c>
      <c r="G59" s="8">
        <f>(Входы!$C$67-Входы!$C$68)*Входы!$C$8/Входы!$C$9*E59*12</f>
        <v>112156.00300005768</v>
      </c>
      <c r="H59" s="8">
        <f>Входы!$C$5*Входы!$C$71*B59*C59*(1-D59)*E59*12</f>
        <v>11519.999999999996</v>
      </c>
      <c r="I59" s="8">
        <f t="shared" si="0"/>
        <v>183027.04300005769</v>
      </c>
      <c r="J59" s="8">
        <f>I59-Входы!$C$75*12-Входы!$C$77-Входы!$C$78-Входы!$C$79*Входы!$C$8/Входы!$C$9</f>
        <v>-228203.84605550108</v>
      </c>
      <c r="K59" s="24" t="str">
        <f t="shared" si="1"/>
        <v>Да</v>
      </c>
    </row>
    <row r="60" spans="1:11" x14ac:dyDescent="0.25">
      <c r="A60" s="2">
        <v>28000</v>
      </c>
      <c r="B60" s="25">
        <v>0.8</v>
      </c>
      <c r="C60" s="25">
        <v>0.3</v>
      </c>
      <c r="D60" s="25">
        <v>0.98</v>
      </c>
      <c r="E60" s="19">
        <v>0</v>
      </c>
      <c r="F60" s="8">
        <f>A60*B60*C60*(1-D60)*(1-Входы!$C$73)*E60*12</f>
        <v>0</v>
      </c>
      <c r="G60" s="8">
        <f>(Входы!$C$67-Входы!$C$68)*Входы!$C$8/Входы!$C$9*E60*12</f>
        <v>0</v>
      </c>
      <c r="H60" s="8">
        <f>Входы!$C$5*Входы!$C$71*B60*C60*(1-D60)*E60*12</f>
        <v>0</v>
      </c>
      <c r="I60" s="8">
        <f t="shared" si="0"/>
        <v>0</v>
      </c>
      <c r="J60" s="8">
        <f>I60-Входы!$C$75*12-Входы!$C$77-Входы!$C$78-Входы!$C$79*Входы!$C$8/Входы!$C$9</f>
        <v>-411230.88905555877</v>
      </c>
      <c r="K60" s="24" t="str">
        <f t="shared" si="1"/>
        <v>Да</v>
      </c>
    </row>
    <row r="61" spans="1:11" x14ac:dyDescent="0.25">
      <c r="A61" s="2">
        <v>28000</v>
      </c>
      <c r="B61" s="25">
        <v>0.8</v>
      </c>
      <c r="C61" s="25">
        <v>0.3</v>
      </c>
      <c r="D61" s="25">
        <v>0.98</v>
      </c>
      <c r="E61" s="19">
        <v>1</v>
      </c>
      <c r="F61" s="8">
        <f>A61*B61*C61*(1-D61)*(1-Входы!$C$73)*E61*12</f>
        <v>1483.7760000000012</v>
      </c>
      <c r="G61" s="8">
        <f>(Входы!$C$67-Входы!$C$68)*Входы!$C$8/Входы!$C$9*E61*12</f>
        <v>28039.00075001442</v>
      </c>
      <c r="H61" s="8">
        <f>Входы!$C$5*Входы!$C$71*B61*C61*(1-D61)*E61*12</f>
        <v>288.00000000000023</v>
      </c>
      <c r="I61" s="8">
        <f t="shared" si="0"/>
        <v>29810.776750014422</v>
      </c>
      <c r="J61" s="8">
        <f>I61-Входы!$C$75*12-Входы!$C$77-Входы!$C$78-Входы!$C$79*Входы!$C$8/Входы!$C$9</f>
        <v>-381420.11230554437</v>
      </c>
      <c r="K61" s="24" t="str">
        <f t="shared" si="1"/>
        <v>Да</v>
      </c>
    </row>
    <row r="62" spans="1:11" x14ac:dyDescent="0.25">
      <c r="A62" s="2">
        <v>28000</v>
      </c>
      <c r="B62" s="25">
        <v>0.8</v>
      </c>
      <c r="C62" s="25">
        <v>0.3</v>
      </c>
      <c r="D62" s="25">
        <v>0.98</v>
      </c>
      <c r="E62" s="19">
        <v>2</v>
      </c>
      <c r="F62" s="8">
        <f>A62*B62*C62*(1-D62)*(1-Входы!$C$73)*E62*12</f>
        <v>2967.5520000000024</v>
      </c>
      <c r="G62" s="8">
        <f>(Входы!$C$67-Входы!$C$68)*Входы!$C$8/Входы!$C$9*E62*12</f>
        <v>56078.00150002884</v>
      </c>
      <c r="H62" s="8">
        <f>Входы!$C$5*Входы!$C$71*B62*C62*(1-D62)*E62*12</f>
        <v>576.00000000000045</v>
      </c>
      <c r="I62" s="8">
        <f t="shared" si="0"/>
        <v>59621.553500028844</v>
      </c>
      <c r="J62" s="8">
        <f>I62-Входы!$C$75*12-Входы!$C$77-Входы!$C$78-Входы!$C$79*Входы!$C$8/Входы!$C$9</f>
        <v>-351609.33555552992</v>
      </c>
      <c r="K62" s="24" t="str">
        <f t="shared" si="1"/>
        <v>Да</v>
      </c>
    </row>
    <row r="63" spans="1:11" x14ac:dyDescent="0.25">
      <c r="A63" s="2">
        <v>28000</v>
      </c>
      <c r="B63" s="25">
        <v>0.8</v>
      </c>
      <c r="C63" s="25">
        <v>0.3</v>
      </c>
      <c r="D63" s="25">
        <v>0.98</v>
      </c>
      <c r="E63" s="19">
        <v>3</v>
      </c>
      <c r="F63" s="8">
        <f>A63*B63*C63*(1-D63)*(1-Входы!$C$73)*E63*12</f>
        <v>4451.3280000000032</v>
      </c>
      <c r="G63" s="8">
        <f>(Входы!$C$67-Входы!$C$68)*Входы!$C$8/Входы!$C$9*E63*12</f>
        <v>84117.002250043268</v>
      </c>
      <c r="H63" s="8">
        <f>Входы!$C$5*Входы!$C$71*B63*C63*(1-D63)*E63*12</f>
        <v>864.00000000000068</v>
      </c>
      <c r="I63" s="8">
        <f t="shared" si="0"/>
        <v>89432.330250043276</v>
      </c>
      <c r="J63" s="8">
        <f>I63-Входы!$C$75*12-Входы!$C$77-Входы!$C$78-Входы!$C$79*Входы!$C$8/Входы!$C$9</f>
        <v>-321798.55880551547</v>
      </c>
      <c r="K63" s="24" t="str">
        <f t="shared" si="1"/>
        <v>Да</v>
      </c>
    </row>
    <row r="64" spans="1:11" x14ac:dyDescent="0.25">
      <c r="A64" s="2">
        <v>28000</v>
      </c>
      <c r="B64" s="25">
        <v>0.8</v>
      </c>
      <c r="C64" s="25">
        <v>0.3</v>
      </c>
      <c r="D64" s="25">
        <v>0.98</v>
      </c>
      <c r="E64" s="19">
        <v>4</v>
      </c>
      <c r="F64" s="8">
        <f>A64*B64*C64*(1-D64)*(1-Входы!$C$73)*E64*12</f>
        <v>5935.1040000000048</v>
      </c>
      <c r="G64" s="8">
        <f>(Входы!$C$67-Входы!$C$68)*Входы!$C$8/Входы!$C$9*E64*12</f>
        <v>112156.00300005768</v>
      </c>
      <c r="H64" s="8">
        <f>Входы!$C$5*Входы!$C$71*B64*C64*(1-D64)*E64*12</f>
        <v>1152.0000000000009</v>
      </c>
      <c r="I64" s="8">
        <f t="shared" si="0"/>
        <v>119243.10700005769</v>
      </c>
      <c r="J64" s="8">
        <f>I64-Входы!$C$75*12-Входы!$C$77-Входы!$C$78-Входы!$C$79*Входы!$C$8/Входы!$C$9</f>
        <v>-291987.78205550107</v>
      </c>
      <c r="K64" s="24" t="str">
        <f t="shared" si="1"/>
        <v>Да</v>
      </c>
    </row>
    <row r="65" spans="1:11" x14ac:dyDescent="0.25">
      <c r="A65" s="2">
        <v>28000</v>
      </c>
      <c r="B65" s="25">
        <v>0.8</v>
      </c>
      <c r="C65" s="25">
        <v>0.6</v>
      </c>
      <c r="D65" s="25">
        <v>0</v>
      </c>
      <c r="E65" s="19">
        <v>0</v>
      </c>
      <c r="F65" s="8">
        <f>A65*B65*C65*(1-D65)*(1-Входы!$C$73)*E65*12</f>
        <v>0</v>
      </c>
      <c r="G65" s="8">
        <f>(Входы!$C$67-Входы!$C$68)*Входы!$C$8/Входы!$C$9*E65*12</f>
        <v>0</v>
      </c>
      <c r="H65" s="8">
        <f>Входы!$C$5*Входы!$C$71*B65*C65*(1-D65)*E65*12</f>
        <v>0</v>
      </c>
      <c r="I65" s="8">
        <f t="shared" si="0"/>
        <v>0</v>
      </c>
      <c r="J65" s="8">
        <f>I65-Входы!$C$75*12-Входы!$C$77-Входы!$C$78-Входы!$C$79*Входы!$C$8/Входы!$C$9</f>
        <v>-411230.88905555877</v>
      </c>
      <c r="K65" s="24" t="str">
        <f t="shared" si="1"/>
        <v>Да</v>
      </c>
    </row>
    <row r="66" spans="1:11" x14ac:dyDescent="0.25">
      <c r="A66" s="2">
        <v>28000</v>
      </c>
      <c r="B66" s="25">
        <v>0.8</v>
      </c>
      <c r="C66" s="25">
        <v>0.6</v>
      </c>
      <c r="D66" s="25">
        <v>0</v>
      </c>
      <c r="E66" s="19">
        <v>1</v>
      </c>
      <c r="F66" s="8">
        <f>A66*B66*C66*(1-D66)*(1-Входы!$C$73)*E66*12</f>
        <v>148377.60000000001</v>
      </c>
      <c r="G66" s="8">
        <f>(Входы!$C$67-Входы!$C$68)*Входы!$C$8/Входы!$C$9*E66*12</f>
        <v>28039.00075001442</v>
      </c>
      <c r="H66" s="8">
        <f>Входы!$C$5*Входы!$C$71*B66*C66*(1-D66)*E66*12</f>
        <v>28800</v>
      </c>
      <c r="I66" s="8">
        <f t="shared" si="0"/>
        <v>205216.60075001442</v>
      </c>
      <c r="J66" s="8">
        <f>I66-Входы!$C$75*12-Входы!$C$77-Входы!$C$78-Входы!$C$79*Входы!$C$8/Входы!$C$9</f>
        <v>-206014.28830554435</v>
      </c>
      <c r="K66" s="24" t="str">
        <f t="shared" si="1"/>
        <v>Да</v>
      </c>
    </row>
    <row r="67" spans="1:11" x14ac:dyDescent="0.25">
      <c r="A67" s="2">
        <v>28000</v>
      </c>
      <c r="B67" s="25">
        <v>0.8</v>
      </c>
      <c r="C67" s="25">
        <v>0.6</v>
      </c>
      <c r="D67" s="25">
        <v>0</v>
      </c>
      <c r="E67" s="19">
        <v>2</v>
      </c>
      <c r="F67" s="8">
        <f>A67*B67*C67*(1-D67)*(1-Входы!$C$73)*E67*12</f>
        <v>296755.20000000001</v>
      </c>
      <c r="G67" s="8">
        <f>(Входы!$C$67-Входы!$C$68)*Входы!$C$8/Входы!$C$9*E67*12</f>
        <v>56078.00150002884</v>
      </c>
      <c r="H67" s="8">
        <f>Входы!$C$5*Входы!$C$71*B67*C67*(1-D67)*E67*12</f>
        <v>57600</v>
      </c>
      <c r="I67" s="8">
        <f t="shared" si="0"/>
        <v>410433.20150002884</v>
      </c>
      <c r="J67" s="8">
        <f>I67-Входы!$C$75*12-Входы!$C$77-Входы!$C$78-Входы!$C$79*Входы!$C$8/Входы!$C$9</f>
        <v>-797.68755552992297</v>
      </c>
      <c r="K67" s="24" t="str">
        <f t="shared" si="1"/>
        <v>Да</v>
      </c>
    </row>
    <row r="68" spans="1:11" x14ac:dyDescent="0.25">
      <c r="A68" s="2">
        <v>28000</v>
      </c>
      <c r="B68" s="25">
        <v>0.8</v>
      </c>
      <c r="C68" s="25">
        <v>0.6</v>
      </c>
      <c r="D68" s="25">
        <v>0</v>
      </c>
      <c r="E68" s="19">
        <v>3</v>
      </c>
      <c r="F68" s="8">
        <f>A68*B68*C68*(1-D68)*(1-Входы!$C$73)*E68*12</f>
        <v>445132.80000000005</v>
      </c>
      <c r="G68" s="8">
        <f>(Входы!$C$67-Входы!$C$68)*Входы!$C$8/Входы!$C$9*E68*12</f>
        <v>84117.002250043268</v>
      </c>
      <c r="H68" s="8">
        <f>Входы!$C$5*Входы!$C$71*B68*C68*(1-D68)*E68*12</f>
        <v>86400</v>
      </c>
      <c r="I68" s="8">
        <f t="shared" si="0"/>
        <v>615649.80225004326</v>
      </c>
      <c r="J68" s="8">
        <f>I68-Входы!$C$75*12-Входы!$C$77-Входы!$C$78-Входы!$C$79*Входы!$C$8/Входы!$C$9</f>
        <v>204418.91319448448</v>
      </c>
      <c r="K68" s="24" t="str">
        <f t="shared" si="1"/>
        <v>Нет</v>
      </c>
    </row>
    <row r="69" spans="1:11" x14ac:dyDescent="0.25">
      <c r="A69" s="2">
        <v>28000</v>
      </c>
      <c r="B69" s="25">
        <v>0.8</v>
      </c>
      <c r="C69" s="25">
        <v>0.6</v>
      </c>
      <c r="D69" s="25">
        <v>0</v>
      </c>
      <c r="E69" s="19">
        <v>4</v>
      </c>
      <c r="F69" s="8">
        <f>A69*B69*C69*(1-D69)*(1-Входы!$C$73)*E69*12</f>
        <v>593510.40000000002</v>
      </c>
      <c r="G69" s="8">
        <f>(Входы!$C$67-Входы!$C$68)*Входы!$C$8/Входы!$C$9*E69*12</f>
        <v>112156.00300005768</v>
      </c>
      <c r="H69" s="8">
        <f>Входы!$C$5*Входы!$C$71*B69*C69*(1-D69)*E69*12</f>
        <v>115200</v>
      </c>
      <c r="I69" s="8">
        <f t="shared" ref="I69:I132" si="2">SUM(F69:H69)</f>
        <v>820866.40300005767</v>
      </c>
      <c r="J69" s="8">
        <f>I69-Входы!$C$75*12-Входы!$C$77-Входы!$C$78-Входы!$C$79*Входы!$C$8/Входы!$C$9</f>
        <v>409635.5139444989</v>
      </c>
      <c r="K69" s="24" t="str">
        <f t="shared" ref="K69:K132" si="3">IF(J69&lt;=0,"Да","Нет")</f>
        <v>Нет</v>
      </c>
    </row>
    <row r="70" spans="1:11" x14ac:dyDescent="0.25">
      <c r="A70" s="2">
        <v>28000</v>
      </c>
      <c r="B70" s="25">
        <v>0.8</v>
      </c>
      <c r="C70" s="25">
        <v>0.6</v>
      </c>
      <c r="D70" s="25">
        <v>0.8</v>
      </c>
      <c r="E70" s="19">
        <v>0</v>
      </c>
      <c r="F70" s="8">
        <f>A70*B70*C70*(1-D70)*(1-Входы!$C$73)*E70*12</f>
        <v>0</v>
      </c>
      <c r="G70" s="8">
        <f>(Входы!$C$67-Входы!$C$68)*Входы!$C$8/Входы!$C$9*E70*12</f>
        <v>0</v>
      </c>
      <c r="H70" s="8">
        <f>Входы!$C$5*Входы!$C$71*B70*C70*(1-D70)*E70*12</f>
        <v>0</v>
      </c>
      <c r="I70" s="8">
        <f t="shared" si="2"/>
        <v>0</v>
      </c>
      <c r="J70" s="8">
        <f>I70-Входы!$C$75*12-Входы!$C$77-Входы!$C$78-Входы!$C$79*Входы!$C$8/Входы!$C$9</f>
        <v>-411230.88905555877</v>
      </c>
      <c r="K70" s="24" t="str">
        <f t="shared" si="3"/>
        <v>Да</v>
      </c>
    </row>
    <row r="71" spans="1:11" x14ac:dyDescent="0.25">
      <c r="A71" s="2">
        <v>28000</v>
      </c>
      <c r="B71" s="25">
        <v>0.8</v>
      </c>
      <c r="C71" s="25">
        <v>0.6</v>
      </c>
      <c r="D71" s="25">
        <v>0.8</v>
      </c>
      <c r="E71" s="19">
        <v>1</v>
      </c>
      <c r="F71" s="8">
        <f>A71*B71*C71*(1-D71)*(1-Входы!$C$73)*E71*12</f>
        <v>29675.519999999997</v>
      </c>
      <c r="G71" s="8">
        <f>(Входы!$C$67-Входы!$C$68)*Входы!$C$8/Входы!$C$9*E71*12</f>
        <v>28039.00075001442</v>
      </c>
      <c r="H71" s="8">
        <f>Входы!$C$5*Входы!$C$71*B71*C71*(1-D71)*E71*12</f>
        <v>5759.9999999999982</v>
      </c>
      <c r="I71" s="8">
        <f t="shared" si="2"/>
        <v>63474.520750014417</v>
      </c>
      <c r="J71" s="8">
        <f>I71-Входы!$C$75*12-Входы!$C$77-Входы!$C$78-Входы!$C$79*Входы!$C$8/Входы!$C$9</f>
        <v>-347756.36830554437</v>
      </c>
      <c r="K71" s="24" t="str">
        <f t="shared" si="3"/>
        <v>Да</v>
      </c>
    </row>
    <row r="72" spans="1:11" x14ac:dyDescent="0.25">
      <c r="A72" s="2">
        <v>28000</v>
      </c>
      <c r="B72" s="25">
        <v>0.8</v>
      </c>
      <c r="C72" s="25">
        <v>0.6</v>
      </c>
      <c r="D72" s="25">
        <v>0.8</v>
      </c>
      <c r="E72" s="19">
        <v>2</v>
      </c>
      <c r="F72" s="8">
        <f>A72*B72*C72*(1-D72)*(1-Входы!$C$73)*E72*12</f>
        <v>59351.039999999994</v>
      </c>
      <c r="G72" s="8">
        <f>(Входы!$C$67-Входы!$C$68)*Входы!$C$8/Входы!$C$9*E72*12</f>
        <v>56078.00150002884</v>
      </c>
      <c r="H72" s="8">
        <f>Входы!$C$5*Входы!$C$71*B72*C72*(1-D72)*E72*12</f>
        <v>11519.999999999996</v>
      </c>
      <c r="I72" s="8">
        <f t="shared" si="2"/>
        <v>126949.04150002883</v>
      </c>
      <c r="J72" s="8">
        <f>I72-Входы!$C$75*12-Входы!$C$77-Входы!$C$78-Входы!$C$79*Входы!$C$8/Входы!$C$9</f>
        <v>-284281.84755552997</v>
      </c>
      <c r="K72" s="24" t="str">
        <f t="shared" si="3"/>
        <v>Да</v>
      </c>
    </row>
    <row r="73" spans="1:11" x14ac:dyDescent="0.25">
      <c r="A73" s="2">
        <v>28000</v>
      </c>
      <c r="B73" s="25">
        <v>0.8</v>
      </c>
      <c r="C73" s="25">
        <v>0.6</v>
      </c>
      <c r="D73" s="25">
        <v>0.8</v>
      </c>
      <c r="E73" s="19">
        <v>3</v>
      </c>
      <c r="F73" s="8">
        <f>A73*B73*C73*(1-D73)*(1-Входы!$C$73)*E73*12</f>
        <v>89026.559999999998</v>
      </c>
      <c r="G73" s="8">
        <f>(Входы!$C$67-Входы!$C$68)*Входы!$C$8/Входы!$C$9*E73*12</f>
        <v>84117.002250043268</v>
      </c>
      <c r="H73" s="8">
        <f>Входы!$C$5*Входы!$C$71*B73*C73*(1-D73)*E73*12</f>
        <v>17279.999999999993</v>
      </c>
      <c r="I73" s="8">
        <f t="shared" si="2"/>
        <v>190423.56225004327</v>
      </c>
      <c r="J73" s="8">
        <f>I73-Входы!$C$75*12-Входы!$C$77-Входы!$C$78-Входы!$C$79*Входы!$C$8/Входы!$C$9</f>
        <v>-220807.32680551551</v>
      </c>
      <c r="K73" s="24" t="str">
        <f t="shared" si="3"/>
        <v>Да</v>
      </c>
    </row>
    <row r="74" spans="1:11" x14ac:dyDescent="0.25">
      <c r="A74" s="2">
        <v>28000</v>
      </c>
      <c r="B74" s="25">
        <v>0.8</v>
      </c>
      <c r="C74" s="25">
        <v>0.6</v>
      </c>
      <c r="D74" s="25">
        <v>0.8</v>
      </c>
      <c r="E74" s="19">
        <v>4</v>
      </c>
      <c r="F74" s="8">
        <f>A74*B74*C74*(1-D74)*(1-Входы!$C$73)*E74*12</f>
        <v>118702.07999999999</v>
      </c>
      <c r="G74" s="8">
        <f>(Входы!$C$67-Входы!$C$68)*Входы!$C$8/Входы!$C$9*E74*12</f>
        <v>112156.00300005768</v>
      </c>
      <c r="H74" s="8">
        <f>Входы!$C$5*Входы!$C$71*B74*C74*(1-D74)*E74*12</f>
        <v>23039.999999999993</v>
      </c>
      <c r="I74" s="8">
        <f t="shared" si="2"/>
        <v>253898.08300005767</v>
      </c>
      <c r="J74" s="8">
        <f>I74-Входы!$C$75*12-Входы!$C$77-Входы!$C$78-Входы!$C$79*Входы!$C$8/Входы!$C$9</f>
        <v>-157332.8060555011</v>
      </c>
      <c r="K74" s="24" t="str">
        <f t="shared" si="3"/>
        <v>Да</v>
      </c>
    </row>
    <row r="75" spans="1:11" x14ac:dyDescent="0.25">
      <c r="A75" s="2">
        <v>28000</v>
      </c>
      <c r="B75" s="25">
        <v>0.8</v>
      </c>
      <c r="C75" s="25">
        <v>0.6</v>
      </c>
      <c r="D75" s="25">
        <v>0.98</v>
      </c>
      <c r="E75" s="19">
        <v>0</v>
      </c>
      <c r="F75" s="8">
        <f>A75*B75*C75*(1-D75)*(1-Входы!$C$73)*E75*12</f>
        <v>0</v>
      </c>
      <c r="G75" s="8">
        <f>(Входы!$C$67-Входы!$C$68)*Входы!$C$8/Входы!$C$9*E75*12</f>
        <v>0</v>
      </c>
      <c r="H75" s="8">
        <f>Входы!$C$5*Входы!$C$71*B75*C75*(1-D75)*E75*12</f>
        <v>0</v>
      </c>
      <c r="I75" s="8">
        <f t="shared" si="2"/>
        <v>0</v>
      </c>
      <c r="J75" s="8">
        <f>I75-Входы!$C$75*12-Входы!$C$77-Входы!$C$78-Входы!$C$79*Входы!$C$8/Входы!$C$9</f>
        <v>-411230.88905555877</v>
      </c>
      <c r="K75" s="24" t="str">
        <f t="shared" si="3"/>
        <v>Да</v>
      </c>
    </row>
    <row r="76" spans="1:11" x14ac:dyDescent="0.25">
      <c r="A76" s="2">
        <v>28000</v>
      </c>
      <c r="B76" s="25">
        <v>0.8</v>
      </c>
      <c r="C76" s="25">
        <v>0.6</v>
      </c>
      <c r="D76" s="25">
        <v>0.98</v>
      </c>
      <c r="E76" s="19">
        <v>1</v>
      </c>
      <c r="F76" s="8">
        <f>A76*B76*C76*(1-D76)*(1-Входы!$C$73)*E76*12</f>
        <v>2967.5520000000024</v>
      </c>
      <c r="G76" s="8">
        <f>(Входы!$C$67-Входы!$C$68)*Входы!$C$8/Входы!$C$9*E76*12</f>
        <v>28039.00075001442</v>
      </c>
      <c r="H76" s="8">
        <f>Входы!$C$5*Входы!$C$71*B76*C76*(1-D76)*E76*12</f>
        <v>576.00000000000045</v>
      </c>
      <c r="I76" s="8">
        <f t="shared" si="2"/>
        <v>31582.552750014424</v>
      </c>
      <c r="J76" s="8">
        <f>I76-Входы!$C$75*12-Входы!$C$77-Входы!$C$78-Входы!$C$79*Входы!$C$8/Входы!$C$9</f>
        <v>-379648.33630554436</v>
      </c>
      <c r="K76" s="24" t="str">
        <f t="shared" si="3"/>
        <v>Да</v>
      </c>
    </row>
    <row r="77" spans="1:11" x14ac:dyDescent="0.25">
      <c r="A77" s="2">
        <v>28000</v>
      </c>
      <c r="B77" s="25">
        <v>0.8</v>
      </c>
      <c r="C77" s="25">
        <v>0.6</v>
      </c>
      <c r="D77" s="25">
        <v>0.98</v>
      </c>
      <c r="E77" s="19">
        <v>2</v>
      </c>
      <c r="F77" s="8">
        <f>A77*B77*C77*(1-D77)*(1-Входы!$C$73)*E77*12</f>
        <v>5935.1040000000048</v>
      </c>
      <c r="G77" s="8">
        <f>(Входы!$C$67-Входы!$C$68)*Входы!$C$8/Входы!$C$9*E77*12</f>
        <v>56078.00150002884</v>
      </c>
      <c r="H77" s="8">
        <f>Входы!$C$5*Входы!$C$71*B77*C77*(1-D77)*E77*12</f>
        <v>1152.0000000000009</v>
      </c>
      <c r="I77" s="8">
        <f t="shared" si="2"/>
        <v>63165.105500028847</v>
      </c>
      <c r="J77" s="8">
        <f>I77-Входы!$C$75*12-Входы!$C$77-Входы!$C$78-Входы!$C$79*Входы!$C$8/Входы!$C$9</f>
        <v>-348065.78355552995</v>
      </c>
      <c r="K77" s="24" t="str">
        <f t="shared" si="3"/>
        <v>Да</v>
      </c>
    </row>
    <row r="78" spans="1:11" x14ac:dyDescent="0.25">
      <c r="A78" s="2">
        <v>28000</v>
      </c>
      <c r="B78" s="25">
        <v>0.8</v>
      </c>
      <c r="C78" s="25">
        <v>0.6</v>
      </c>
      <c r="D78" s="25">
        <v>0.98</v>
      </c>
      <c r="E78" s="19">
        <v>3</v>
      </c>
      <c r="F78" s="8">
        <f>A78*B78*C78*(1-D78)*(1-Входы!$C$73)*E78*12</f>
        <v>8902.6560000000063</v>
      </c>
      <c r="G78" s="8">
        <f>(Входы!$C$67-Входы!$C$68)*Входы!$C$8/Входы!$C$9*E78*12</f>
        <v>84117.002250043268</v>
      </c>
      <c r="H78" s="8">
        <f>Входы!$C$5*Входы!$C$71*B78*C78*(1-D78)*E78*12</f>
        <v>1728.0000000000014</v>
      </c>
      <c r="I78" s="8">
        <f t="shared" si="2"/>
        <v>94747.658250043271</v>
      </c>
      <c r="J78" s="8">
        <f>I78-Входы!$C$75*12-Входы!$C$77-Входы!$C$78-Входы!$C$79*Входы!$C$8/Входы!$C$9</f>
        <v>-316483.23080551549</v>
      </c>
      <c r="K78" s="24" t="str">
        <f t="shared" si="3"/>
        <v>Да</v>
      </c>
    </row>
    <row r="79" spans="1:11" x14ac:dyDescent="0.25">
      <c r="A79" s="2">
        <v>28000</v>
      </c>
      <c r="B79" s="25">
        <v>0.8</v>
      </c>
      <c r="C79" s="25">
        <v>0.6</v>
      </c>
      <c r="D79" s="25">
        <v>0.98</v>
      </c>
      <c r="E79" s="19">
        <v>4</v>
      </c>
      <c r="F79" s="8">
        <f>A79*B79*C79*(1-D79)*(1-Входы!$C$73)*E79*12</f>
        <v>11870.20800000001</v>
      </c>
      <c r="G79" s="8">
        <f>(Входы!$C$67-Входы!$C$68)*Входы!$C$8/Входы!$C$9*E79*12</f>
        <v>112156.00300005768</v>
      </c>
      <c r="H79" s="8">
        <f>Входы!$C$5*Входы!$C$71*B79*C79*(1-D79)*E79*12</f>
        <v>2304.0000000000018</v>
      </c>
      <c r="I79" s="8">
        <f t="shared" si="2"/>
        <v>126330.21100005769</v>
      </c>
      <c r="J79" s="8">
        <f>I79-Входы!$C$75*12-Входы!$C$77-Входы!$C$78-Входы!$C$79*Входы!$C$8/Входы!$C$9</f>
        <v>-284900.67805550108</v>
      </c>
      <c r="K79" s="24" t="str">
        <f t="shared" si="3"/>
        <v>Да</v>
      </c>
    </row>
    <row r="80" spans="1:11" x14ac:dyDescent="0.25">
      <c r="A80" s="2">
        <v>28000</v>
      </c>
      <c r="B80" s="25">
        <v>0.8</v>
      </c>
      <c r="C80" s="25">
        <v>1</v>
      </c>
      <c r="D80" s="25">
        <v>0</v>
      </c>
      <c r="E80" s="19">
        <v>0</v>
      </c>
      <c r="F80" s="8">
        <f>A80*B80*C80*(1-D80)*(1-Входы!$C$73)*E80*12</f>
        <v>0</v>
      </c>
      <c r="G80" s="8">
        <f>(Входы!$C$67-Входы!$C$68)*Входы!$C$8/Входы!$C$9*E80*12</f>
        <v>0</v>
      </c>
      <c r="H80" s="8">
        <f>Входы!$C$5*Входы!$C$71*B80*C80*(1-D80)*E80*12</f>
        <v>0</v>
      </c>
      <c r="I80" s="8">
        <f t="shared" si="2"/>
        <v>0</v>
      </c>
      <c r="J80" s="8">
        <f>I80-Входы!$C$75*12-Входы!$C$77-Входы!$C$78-Входы!$C$79*Входы!$C$8/Входы!$C$9</f>
        <v>-411230.88905555877</v>
      </c>
      <c r="K80" s="24" t="str">
        <f t="shared" si="3"/>
        <v>Да</v>
      </c>
    </row>
    <row r="81" spans="1:11" x14ac:dyDescent="0.25">
      <c r="A81" s="2">
        <v>28000</v>
      </c>
      <c r="B81" s="25">
        <v>0.8</v>
      </c>
      <c r="C81" s="25">
        <v>1</v>
      </c>
      <c r="D81" s="25">
        <v>0</v>
      </c>
      <c r="E81" s="19">
        <v>1</v>
      </c>
      <c r="F81" s="8">
        <f>A81*B81*C81*(1-D81)*(1-Входы!$C$73)*E81*12</f>
        <v>247296</v>
      </c>
      <c r="G81" s="8">
        <f>(Входы!$C$67-Входы!$C$68)*Входы!$C$8/Входы!$C$9*E81*12</f>
        <v>28039.00075001442</v>
      </c>
      <c r="H81" s="8">
        <f>Входы!$C$5*Входы!$C$71*B81*C81*(1-D81)*E81*12</f>
        <v>48000</v>
      </c>
      <c r="I81" s="8">
        <f t="shared" si="2"/>
        <v>323335.00075001444</v>
      </c>
      <c r="J81" s="8">
        <f>I81-Входы!$C$75*12-Входы!$C$77-Входы!$C$78-Входы!$C$79*Входы!$C$8/Входы!$C$9</f>
        <v>-87895.888305544315</v>
      </c>
      <c r="K81" s="24" t="str">
        <f t="shared" si="3"/>
        <v>Да</v>
      </c>
    </row>
    <row r="82" spans="1:11" x14ac:dyDescent="0.25">
      <c r="A82" s="2">
        <v>28000</v>
      </c>
      <c r="B82" s="25">
        <v>0.8</v>
      </c>
      <c r="C82" s="25">
        <v>1</v>
      </c>
      <c r="D82" s="25">
        <v>0</v>
      </c>
      <c r="E82" s="19">
        <v>2</v>
      </c>
      <c r="F82" s="8">
        <f>A82*B82*C82*(1-D82)*(1-Входы!$C$73)*E82*12</f>
        <v>494592</v>
      </c>
      <c r="G82" s="8">
        <f>(Входы!$C$67-Входы!$C$68)*Входы!$C$8/Входы!$C$9*E82*12</f>
        <v>56078.00150002884</v>
      </c>
      <c r="H82" s="8">
        <f>Входы!$C$5*Входы!$C$71*B82*C82*(1-D82)*E82*12</f>
        <v>96000</v>
      </c>
      <c r="I82" s="8">
        <f t="shared" si="2"/>
        <v>646670.00150002888</v>
      </c>
      <c r="J82" s="8">
        <f>I82-Входы!$C$75*12-Входы!$C$77-Входы!$C$78-Входы!$C$79*Входы!$C$8/Входы!$C$9</f>
        <v>235439.11244447011</v>
      </c>
      <c r="K82" s="24" t="str">
        <f t="shared" si="3"/>
        <v>Нет</v>
      </c>
    </row>
    <row r="83" spans="1:11" x14ac:dyDescent="0.25">
      <c r="A83" s="2">
        <v>28000</v>
      </c>
      <c r="B83" s="25">
        <v>0.8</v>
      </c>
      <c r="C83" s="25">
        <v>1</v>
      </c>
      <c r="D83" s="25">
        <v>0</v>
      </c>
      <c r="E83" s="19">
        <v>3</v>
      </c>
      <c r="F83" s="8">
        <f>A83*B83*C83*(1-D83)*(1-Входы!$C$73)*E83*12</f>
        <v>741888</v>
      </c>
      <c r="G83" s="8">
        <f>(Входы!$C$67-Входы!$C$68)*Входы!$C$8/Входы!$C$9*E83*12</f>
        <v>84117.002250043268</v>
      </c>
      <c r="H83" s="8">
        <f>Входы!$C$5*Входы!$C$71*B83*C83*(1-D83)*E83*12</f>
        <v>144000</v>
      </c>
      <c r="I83" s="8">
        <f t="shared" si="2"/>
        <v>970005.00225004321</v>
      </c>
      <c r="J83" s="8">
        <f>I83-Входы!$C$75*12-Входы!$C$77-Входы!$C$78-Входы!$C$79*Входы!$C$8/Входы!$C$9</f>
        <v>558774.1131944845</v>
      </c>
      <c r="K83" s="24" t="str">
        <f t="shared" si="3"/>
        <v>Нет</v>
      </c>
    </row>
    <row r="84" spans="1:11" x14ac:dyDescent="0.25">
      <c r="A84" s="2">
        <v>28000</v>
      </c>
      <c r="B84" s="25">
        <v>0.8</v>
      </c>
      <c r="C84" s="25">
        <v>1</v>
      </c>
      <c r="D84" s="25">
        <v>0</v>
      </c>
      <c r="E84" s="19">
        <v>4</v>
      </c>
      <c r="F84" s="8">
        <f>A84*B84*C84*(1-D84)*(1-Входы!$C$73)*E84*12</f>
        <v>989184</v>
      </c>
      <c r="G84" s="8">
        <f>(Входы!$C$67-Входы!$C$68)*Входы!$C$8/Входы!$C$9*E84*12</f>
        <v>112156.00300005768</v>
      </c>
      <c r="H84" s="8">
        <f>Входы!$C$5*Входы!$C$71*B84*C84*(1-D84)*E84*12</f>
        <v>192000</v>
      </c>
      <c r="I84" s="8">
        <f t="shared" si="2"/>
        <v>1293340.0030000578</v>
      </c>
      <c r="J84" s="8">
        <f>I84-Входы!$C$75*12-Входы!$C$77-Входы!$C$78-Входы!$C$79*Входы!$C$8/Входы!$C$9</f>
        <v>882109.11394449905</v>
      </c>
      <c r="K84" s="24" t="str">
        <f t="shared" si="3"/>
        <v>Нет</v>
      </c>
    </row>
    <row r="85" spans="1:11" x14ac:dyDescent="0.25">
      <c r="A85" s="2">
        <v>28000</v>
      </c>
      <c r="B85" s="25">
        <v>0.8</v>
      </c>
      <c r="C85" s="25">
        <v>1</v>
      </c>
      <c r="D85" s="25">
        <v>0.8</v>
      </c>
      <c r="E85" s="19">
        <v>0</v>
      </c>
      <c r="F85" s="8">
        <f>A85*B85*C85*(1-D85)*(1-Входы!$C$73)*E85*12</f>
        <v>0</v>
      </c>
      <c r="G85" s="8">
        <f>(Входы!$C$67-Входы!$C$68)*Входы!$C$8/Входы!$C$9*E85*12</f>
        <v>0</v>
      </c>
      <c r="H85" s="8">
        <f>Входы!$C$5*Входы!$C$71*B85*C85*(1-D85)*E85*12</f>
        <v>0</v>
      </c>
      <c r="I85" s="8">
        <f t="shared" si="2"/>
        <v>0</v>
      </c>
      <c r="J85" s="8">
        <f>I85-Входы!$C$75*12-Входы!$C$77-Входы!$C$78-Входы!$C$79*Входы!$C$8/Входы!$C$9</f>
        <v>-411230.88905555877</v>
      </c>
      <c r="K85" s="24" t="str">
        <f t="shared" si="3"/>
        <v>Да</v>
      </c>
    </row>
    <row r="86" spans="1:11" x14ac:dyDescent="0.25">
      <c r="A86" s="2">
        <v>28000</v>
      </c>
      <c r="B86" s="25">
        <v>0.8</v>
      </c>
      <c r="C86" s="25">
        <v>1</v>
      </c>
      <c r="D86" s="25">
        <v>0.8</v>
      </c>
      <c r="E86" s="19">
        <v>1</v>
      </c>
      <c r="F86" s="8">
        <f>A86*B86*C86*(1-D86)*(1-Входы!$C$73)*E86*12</f>
        <v>49459.199999999997</v>
      </c>
      <c r="G86" s="8">
        <f>(Входы!$C$67-Входы!$C$68)*Входы!$C$8/Входы!$C$9*E86*12</f>
        <v>28039.00075001442</v>
      </c>
      <c r="H86" s="8">
        <f>Входы!$C$5*Входы!$C$71*B86*C86*(1-D86)*E86*12</f>
        <v>9599.9999999999964</v>
      </c>
      <c r="I86" s="8">
        <f t="shared" si="2"/>
        <v>87098.200750014425</v>
      </c>
      <c r="J86" s="8">
        <f>I86-Входы!$C$75*12-Входы!$C$77-Входы!$C$78-Входы!$C$79*Входы!$C$8/Входы!$C$9</f>
        <v>-324132.68830554438</v>
      </c>
      <c r="K86" s="24" t="str">
        <f t="shared" si="3"/>
        <v>Да</v>
      </c>
    </row>
    <row r="87" spans="1:11" x14ac:dyDescent="0.25">
      <c r="A87" s="2">
        <v>28000</v>
      </c>
      <c r="B87" s="25">
        <v>0.8</v>
      </c>
      <c r="C87" s="25">
        <v>1</v>
      </c>
      <c r="D87" s="25">
        <v>0.8</v>
      </c>
      <c r="E87" s="19">
        <v>2</v>
      </c>
      <c r="F87" s="8">
        <f>A87*B87*C87*(1-D87)*(1-Входы!$C$73)*E87*12</f>
        <v>98918.399999999994</v>
      </c>
      <c r="G87" s="8">
        <f>(Входы!$C$67-Входы!$C$68)*Входы!$C$8/Входы!$C$9*E87*12</f>
        <v>56078.00150002884</v>
      </c>
      <c r="H87" s="8">
        <f>Входы!$C$5*Входы!$C$71*B87*C87*(1-D87)*E87*12</f>
        <v>19199.999999999993</v>
      </c>
      <c r="I87" s="8">
        <f t="shared" si="2"/>
        <v>174196.40150002885</v>
      </c>
      <c r="J87" s="8">
        <f>I87-Входы!$C$75*12-Входы!$C$77-Входы!$C$78-Входы!$C$79*Входы!$C$8/Входы!$C$9</f>
        <v>-237034.48755552992</v>
      </c>
      <c r="K87" s="24" t="str">
        <f t="shared" si="3"/>
        <v>Да</v>
      </c>
    </row>
    <row r="88" spans="1:11" x14ac:dyDescent="0.25">
      <c r="A88" s="2">
        <v>28000</v>
      </c>
      <c r="B88" s="25">
        <v>0.8</v>
      </c>
      <c r="C88" s="25">
        <v>1</v>
      </c>
      <c r="D88" s="25">
        <v>0.8</v>
      </c>
      <c r="E88" s="19">
        <v>3</v>
      </c>
      <c r="F88" s="8">
        <f>A88*B88*C88*(1-D88)*(1-Входы!$C$73)*E88*12</f>
        <v>148377.59999999998</v>
      </c>
      <c r="G88" s="8">
        <f>(Входы!$C$67-Входы!$C$68)*Входы!$C$8/Входы!$C$9*E88*12</f>
        <v>84117.002250043268</v>
      </c>
      <c r="H88" s="8">
        <f>Входы!$C$5*Входы!$C$71*B88*C88*(1-D88)*E88*12</f>
        <v>28799.999999999989</v>
      </c>
      <c r="I88" s="8">
        <f t="shared" si="2"/>
        <v>261294.60225004324</v>
      </c>
      <c r="J88" s="8">
        <f>I88-Входы!$C$75*12-Входы!$C$77-Входы!$C$78-Входы!$C$79*Входы!$C$8/Входы!$C$9</f>
        <v>-149936.28680551553</v>
      </c>
      <c r="K88" s="24" t="str">
        <f t="shared" si="3"/>
        <v>Да</v>
      </c>
    </row>
    <row r="89" spans="1:11" x14ac:dyDescent="0.25">
      <c r="A89" s="2">
        <v>28000</v>
      </c>
      <c r="B89" s="25">
        <v>0.8</v>
      </c>
      <c r="C89" s="25">
        <v>1</v>
      </c>
      <c r="D89" s="25">
        <v>0.8</v>
      </c>
      <c r="E89" s="19">
        <v>4</v>
      </c>
      <c r="F89" s="8">
        <f>A89*B89*C89*(1-D89)*(1-Входы!$C$73)*E89*12</f>
        <v>197836.79999999999</v>
      </c>
      <c r="G89" s="8">
        <f>(Входы!$C$67-Входы!$C$68)*Входы!$C$8/Входы!$C$9*E89*12</f>
        <v>112156.00300005768</v>
      </c>
      <c r="H89" s="8">
        <f>Входы!$C$5*Входы!$C$71*B89*C89*(1-D89)*E89*12</f>
        <v>38399.999999999985</v>
      </c>
      <c r="I89" s="8">
        <f t="shared" si="2"/>
        <v>348392.8030000577</v>
      </c>
      <c r="J89" s="8">
        <f>I89-Входы!$C$75*12-Входы!$C$77-Входы!$C$78-Входы!$C$79*Входы!$C$8/Входы!$C$9</f>
        <v>-62838.086055501059</v>
      </c>
      <c r="K89" s="24" t="str">
        <f t="shared" si="3"/>
        <v>Да</v>
      </c>
    </row>
    <row r="90" spans="1:11" x14ac:dyDescent="0.25">
      <c r="A90" s="2">
        <v>28000</v>
      </c>
      <c r="B90" s="25">
        <v>0.8</v>
      </c>
      <c r="C90" s="25">
        <v>1</v>
      </c>
      <c r="D90" s="25">
        <v>0.98</v>
      </c>
      <c r="E90" s="19">
        <v>0</v>
      </c>
      <c r="F90" s="8">
        <f>A90*B90*C90*(1-D90)*(1-Входы!$C$73)*E90*12</f>
        <v>0</v>
      </c>
      <c r="G90" s="8">
        <f>(Входы!$C$67-Входы!$C$68)*Входы!$C$8/Входы!$C$9*E90*12</f>
        <v>0</v>
      </c>
      <c r="H90" s="8">
        <f>Входы!$C$5*Входы!$C$71*B90*C90*(1-D90)*E90*12</f>
        <v>0</v>
      </c>
      <c r="I90" s="8">
        <f t="shared" si="2"/>
        <v>0</v>
      </c>
      <c r="J90" s="8">
        <f>I90-Входы!$C$75*12-Входы!$C$77-Входы!$C$78-Входы!$C$79*Входы!$C$8/Входы!$C$9</f>
        <v>-411230.88905555877</v>
      </c>
      <c r="K90" s="24" t="str">
        <f t="shared" si="3"/>
        <v>Да</v>
      </c>
    </row>
    <row r="91" spans="1:11" x14ac:dyDescent="0.25">
      <c r="A91" s="2">
        <v>28000</v>
      </c>
      <c r="B91" s="25">
        <v>0.8</v>
      </c>
      <c r="C91" s="25">
        <v>1</v>
      </c>
      <c r="D91" s="25">
        <v>0.98</v>
      </c>
      <c r="E91" s="19">
        <v>1</v>
      </c>
      <c r="F91" s="8">
        <f>A91*B91*C91*(1-D91)*(1-Входы!$C$73)*E91*12</f>
        <v>4945.9200000000046</v>
      </c>
      <c r="G91" s="8">
        <f>(Входы!$C$67-Входы!$C$68)*Входы!$C$8/Входы!$C$9*E91*12</f>
        <v>28039.00075001442</v>
      </c>
      <c r="H91" s="8">
        <f>Входы!$C$5*Входы!$C$71*B91*C91*(1-D91)*E91*12</f>
        <v>960.00000000000091</v>
      </c>
      <c r="I91" s="8">
        <f t="shared" si="2"/>
        <v>33944.920750014426</v>
      </c>
      <c r="J91" s="8">
        <f>I91-Входы!$C$75*12-Входы!$C$77-Входы!$C$78-Входы!$C$79*Входы!$C$8/Входы!$C$9</f>
        <v>-377285.96830554435</v>
      </c>
      <c r="K91" s="24" t="str">
        <f t="shared" si="3"/>
        <v>Да</v>
      </c>
    </row>
    <row r="92" spans="1:11" x14ac:dyDescent="0.25">
      <c r="A92" s="2">
        <v>28000</v>
      </c>
      <c r="B92" s="25">
        <v>0.8</v>
      </c>
      <c r="C92" s="25">
        <v>1</v>
      </c>
      <c r="D92" s="25">
        <v>0.98</v>
      </c>
      <c r="E92" s="19">
        <v>2</v>
      </c>
      <c r="F92" s="8">
        <f>A92*B92*C92*(1-D92)*(1-Входы!$C$73)*E92*12</f>
        <v>9891.8400000000092</v>
      </c>
      <c r="G92" s="8">
        <f>(Входы!$C$67-Входы!$C$68)*Входы!$C$8/Входы!$C$9*E92*12</f>
        <v>56078.00150002884</v>
      </c>
      <c r="H92" s="8">
        <f>Входы!$C$5*Входы!$C$71*B92*C92*(1-D92)*E92*12</f>
        <v>1920.0000000000018</v>
      </c>
      <c r="I92" s="8">
        <f t="shared" si="2"/>
        <v>67889.841500028851</v>
      </c>
      <c r="J92" s="8">
        <f>I92-Входы!$C$75*12-Входы!$C$77-Входы!$C$78-Входы!$C$79*Входы!$C$8/Входы!$C$9</f>
        <v>-343341.04755552992</v>
      </c>
      <c r="K92" s="24" t="str">
        <f t="shared" si="3"/>
        <v>Да</v>
      </c>
    </row>
    <row r="93" spans="1:11" x14ac:dyDescent="0.25">
      <c r="A93" s="2">
        <v>28000</v>
      </c>
      <c r="B93" s="25">
        <v>0.8</v>
      </c>
      <c r="C93" s="25">
        <v>1</v>
      </c>
      <c r="D93" s="25">
        <v>0.98</v>
      </c>
      <c r="E93" s="19">
        <v>3</v>
      </c>
      <c r="F93" s="8">
        <f>A93*B93*C93*(1-D93)*(1-Входы!$C$73)*E93*12</f>
        <v>14837.760000000013</v>
      </c>
      <c r="G93" s="8">
        <f>(Входы!$C$67-Входы!$C$68)*Входы!$C$8/Входы!$C$9*E93*12</f>
        <v>84117.002250043268</v>
      </c>
      <c r="H93" s="8">
        <f>Входы!$C$5*Входы!$C$71*B93*C93*(1-D93)*E93*12</f>
        <v>2880.0000000000027</v>
      </c>
      <c r="I93" s="8">
        <f t="shared" si="2"/>
        <v>101834.76225004328</v>
      </c>
      <c r="J93" s="8">
        <f>I93-Входы!$C$75*12-Входы!$C$77-Входы!$C$78-Входы!$C$79*Входы!$C$8/Входы!$C$9</f>
        <v>-309396.12680551549</v>
      </c>
      <c r="K93" s="24" t="str">
        <f t="shared" si="3"/>
        <v>Да</v>
      </c>
    </row>
    <row r="94" spans="1:11" x14ac:dyDescent="0.25">
      <c r="A94" s="2">
        <v>28000</v>
      </c>
      <c r="B94" s="25">
        <v>0.8</v>
      </c>
      <c r="C94" s="25">
        <v>1</v>
      </c>
      <c r="D94" s="25">
        <v>0.98</v>
      </c>
      <c r="E94" s="19">
        <v>4</v>
      </c>
      <c r="F94" s="8">
        <f>A94*B94*C94*(1-D94)*(1-Входы!$C$73)*E94*12</f>
        <v>19783.680000000018</v>
      </c>
      <c r="G94" s="8">
        <f>(Входы!$C$67-Входы!$C$68)*Входы!$C$8/Входы!$C$9*E94*12</f>
        <v>112156.00300005768</v>
      </c>
      <c r="H94" s="8">
        <f>Входы!$C$5*Входы!$C$71*B94*C94*(1-D94)*E94*12</f>
        <v>3840.0000000000036</v>
      </c>
      <c r="I94" s="8">
        <f t="shared" si="2"/>
        <v>135779.6830000577</v>
      </c>
      <c r="J94" s="8">
        <f>I94-Входы!$C$75*12-Входы!$C$77-Входы!$C$78-Входы!$C$79*Входы!$C$8/Входы!$C$9</f>
        <v>-275451.20605550107</v>
      </c>
      <c r="K94" s="24" t="str">
        <f t="shared" si="3"/>
        <v>Да</v>
      </c>
    </row>
    <row r="95" spans="1:11" x14ac:dyDescent="0.25">
      <c r="A95" s="2">
        <v>28000</v>
      </c>
      <c r="B95" s="25">
        <v>1</v>
      </c>
      <c r="C95" s="25">
        <v>0.3</v>
      </c>
      <c r="D95" s="25">
        <v>0</v>
      </c>
      <c r="E95" s="19">
        <v>0</v>
      </c>
      <c r="F95" s="8">
        <f>A95*B95*C95*(1-D95)*(1-Входы!$C$73)*E95*12</f>
        <v>0</v>
      </c>
      <c r="G95" s="8">
        <f>(Входы!$C$67-Входы!$C$68)*Входы!$C$8/Входы!$C$9*E95*12</f>
        <v>0</v>
      </c>
      <c r="H95" s="8">
        <f>Входы!$C$5*Входы!$C$71*B95*C95*(1-D95)*E95*12</f>
        <v>0</v>
      </c>
      <c r="I95" s="8">
        <f t="shared" si="2"/>
        <v>0</v>
      </c>
      <c r="J95" s="8">
        <f>I95-Входы!$C$75*12-Входы!$C$77-Входы!$C$78-Входы!$C$79*Входы!$C$8/Входы!$C$9</f>
        <v>-411230.88905555877</v>
      </c>
      <c r="K95" s="24" t="str">
        <f t="shared" si="3"/>
        <v>Да</v>
      </c>
    </row>
    <row r="96" spans="1:11" x14ac:dyDescent="0.25">
      <c r="A96" s="2">
        <v>28000</v>
      </c>
      <c r="B96" s="25">
        <v>1</v>
      </c>
      <c r="C96" s="25">
        <v>0.3</v>
      </c>
      <c r="D96" s="25">
        <v>0</v>
      </c>
      <c r="E96" s="19">
        <v>1</v>
      </c>
      <c r="F96" s="8">
        <f>A96*B96*C96*(1-D96)*(1-Входы!$C$73)*E96*12</f>
        <v>92736</v>
      </c>
      <c r="G96" s="8">
        <f>(Входы!$C$67-Входы!$C$68)*Входы!$C$8/Входы!$C$9*E96*12</f>
        <v>28039.00075001442</v>
      </c>
      <c r="H96" s="8">
        <f>Входы!$C$5*Входы!$C$71*B96*C96*(1-D96)*E96*12</f>
        <v>18000</v>
      </c>
      <c r="I96" s="8">
        <f t="shared" si="2"/>
        <v>138775.00075001441</v>
      </c>
      <c r="J96" s="8">
        <f>I96-Входы!$C$75*12-Входы!$C$77-Входы!$C$78-Входы!$C$79*Входы!$C$8/Входы!$C$9</f>
        <v>-272455.88830554433</v>
      </c>
      <c r="K96" s="24" t="str">
        <f t="shared" si="3"/>
        <v>Да</v>
      </c>
    </row>
    <row r="97" spans="1:11" x14ac:dyDescent="0.25">
      <c r="A97" s="2">
        <v>28000</v>
      </c>
      <c r="B97" s="25">
        <v>1</v>
      </c>
      <c r="C97" s="25">
        <v>0.3</v>
      </c>
      <c r="D97" s="25">
        <v>0</v>
      </c>
      <c r="E97" s="19">
        <v>2</v>
      </c>
      <c r="F97" s="8">
        <f>A97*B97*C97*(1-D97)*(1-Входы!$C$73)*E97*12</f>
        <v>185472</v>
      </c>
      <c r="G97" s="8">
        <f>(Входы!$C$67-Входы!$C$68)*Входы!$C$8/Входы!$C$9*E97*12</f>
        <v>56078.00150002884</v>
      </c>
      <c r="H97" s="8">
        <f>Входы!$C$5*Входы!$C$71*B97*C97*(1-D97)*E97*12</f>
        <v>36000</v>
      </c>
      <c r="I97" s="8">
        <f t="shared" si="2"/>
        <v>277550.00150002883</v>
      </c>
      <c r="J97" s="8">
        <f>I97-Входы!$C$75*12-Входы!$C$77-Входы!$C$78-Входы!$C$79*Входы!$C$8/Входы!$C$9</f>
        <v>-133680.88755552995</v>
      </c>
      <c r="K97" s="24" t="str">
        <f t="shared" si="3"/>
        <v>Да</v>
      </c>
    </row>
    <row r="98" spans="1:11" x14ac:dyDescent="0.25">
      <c r="A98" s="2">
        <v>28000</v>
      </c>
      <c r="B98" s="25">
        <v>1</v>
      </c>
      <c r="C98" s="25">
        <v>0.3</v>
      </c>
      <c r="D98" s="25">
        <v>0</v>
      </c>
      <c r="E98" s="19">
        <v>3</v>
      </c>
      <c r="F98" s="8">
        <f>A98*B98*C98*(1-D98)*(1-Входы!$C$73)*E98*12</f>
        <v>278208</v>
      </c>
      <c r="G98" s="8">
        <f>(Входы!$C$67-Входы!$C$68)*Входы!$C$8/Входы!$C$9*E98*12</f>
        <v>84117.002250043268</v>
      </c>
      <c r="H98" s="8">
        <f>Входы!$C$5*Входы!$C$71*B98*C98*(1-D98)*E98*12</f>
        <v>54000</v>
      </c>
      <c r="I98" s="8">
        <f t="shared" si="2"/>
        <v>416325.00225004327</v>
      </c>
      <c r="J98" s="8">
        <f>I98-Входы!$C$75*12-Входы!$C$77-Входы!$C$78-Входы!$C$79*Входы!$C$8/Входы!$C$9</f>
        <v>5094.1131944845074</v>
      </c>
      <c r="K98" s="24" t="str">
        <f t="shared" si="3"/>
        <v>Нет</v>
      </c>
    </row>
    <row r="99" spans="1:11" x14ac:dyDescent="0.25">
      <c r="A99" s="2">
        <v>28000</v>
      </c>
      <c r="B99" s="25">
        <v>1</v>
      </c>
      <c r="C99" s="25">
        <v>0.3</v>
      </c>
      <c r="D99" s="25">
        <v>0</v>
      </c>
      <c r="E99" s="19">
        <v>4</v>
      </c>
      <c r="F99" s="8">
        <f>A99*B99*C99*(1-D99)*(1-Входы!$C$73)*E99*12</f>
        <v>370944</v>
      </c>
      <c r="G99" s="8">
        <f>(Входы!$C$67-Входы!$C$68)*Входы!$C$8/Входы!$C$9*E99*12</f>
        <v>112156.00300005768</v>
      </c>
      <c r="H99" s="8">
        <f>Входы!$C$5*Входы!$C$71*B99*C99*(1-D99)*E99*12</f>
        <v>72000</v>
      </c>
      <c r="I99" s="8">
        <f t="shared" si="2"/>
        <v>555100.00300005765</v>
      </c>
      <c r="J99" s="8">
        <f>I99-Входы!$C$75*12-Входы!$C$77-Входы!$C$78-Входы!$C$79*Входы!$C$8/Входы!$C$9</f>
        <v>143869.11394449888</v>
      </c>
      <c r="K99" s="24" t="str">
        <f t="shared" si="3"/>
        <v>Нет</v>
      </c>
    </row>
    <row r="100" spans="1:11" x14ac:dyDescent="0.25">
      <c r="A100" s="2">
        <v>28000</v>
      </c>
      <c r="B100" s="25">
        <v>1</v>
      </c>
      <c r="C100" s="25">
        <v>0.3</v>
      </c>
      <c r="D100" s="25">
        <v>0.8</v>
      </c>
      <c r="E100" s="19">
        <v>0</v>
      </c>
      <c r="F100" s="8">
        <f>A100*B100*C100*(1-D100)*(1-Входы!$C$73)*E100*12</f>
        <v>0</v>
      </c>
      <c r="G100" s="8">
        <f>(Входы!$C$67-Входы!$C$68)*Входы!$C$8/Входы!$C$9*E100*12</f>
        <v>0</v>
      </c>
      <c r="H100" s="8">
        <f>Входы!$C$5*Входы!$C$71*B100*C100*(1-D100)*E100*12</f>
        <v>0</v>
      </c>
      <c r="I100" s="8">
        <f t="shared" si="2"/>
        <v>0</v>
      </c>
      <c r="J100" s="8">
        <f>I100-Входы!$C$75*12-Входы!$C$77-Входы!$C$78-Входы!$C$79*Входы!$C$8/Входы!$C$9</f>
        <v>-411230.88905555877</v>
      </c>
      <c r="K100" s="24" t="str">
        <f t="shared" si="3"/>
        <v>Да</v>
      </c>
    </row>
    <row r="101" spans="1:11" x14ac:dyDescent="0.25">
      <c r="A101" s="2">
        <v>28000</v>
      </c>
      <c r="B101" s="25">
        <v>1</v>
      </c>
      <c r="C101" s="25">
        <v>0.3</v>
      </c>
      <c r="D101" s="25">
        <v>0.8</v>
      </c>
      <c r="E101" s="19">
        <v>1</v>
      </c>
      <c r="F101" s="8">
        <f>A101*B101*C101*(1-D101)*(1-Входы!$C$73)*E101*12</f>
        <v>18547.199999999997</v>
      </c>
      <c r="G101" s="8">
        <f>(Входы!$C$67-Входы!$C$68)*Входы!$C$8/Входы!$C$9*E101*12</f>
        <v>28039.00075001442</v>
      </c>
      <c r="H101" s="8">
        <f>Входы!$C$5*Входы!$C$71*B101*C101*(1-D101)*E101*12</f>
        <v>3599.9999999999991</v>
      </c>
      <c r="I101" s="8">
        <f t="shared" si="2"/>
        <v>50186.200750014417</v>
      </c>
      <c r="J101" s="8">
        <f>I101-Входы!$C$75*12-Входы!$C$77-Входы!$C$78-Входы!$C$79*Входы!$C$8/Входы!$C$9</f>
        <v>-361044.68830554438</v>
      </c>
      <c r="K101" s="24" t="str">
        <f t="shared" si="3"/>
        <v>Да</v>
      </c>
    </row>
    <row r="102" spans="1:11" x14ac:dyDescent="0.25">
      <c r="A102" s="2">
        <v>28000</v>
      </c>
      <c r="B102" s="25">
        <v>1</v>
      </c>
      <c r="C102" s="25">
        <v>0.3</v>
      </c>
      <c r="D102" s="25">
        <v>0.8</v>
      </c>
      <c r="E102" s="19">
        <v>2</v>
      </c>
      <c r="F102" s="8">
        <f>A102*B102*C102*(1-D102)*(1-Входы!$C$73)*E102*12</f>
        <v>37094.399999999994</v>
      </c>
      <c r="G102" s="8">
        <f>(Входы!$C$67-Входы!$C$68)*Входы!$C$8/Входы!$C$9*E102*12</f>
        <v>56078.00150002884</v>
      </c>
      <c r="H102" s="8">
        <f>Входы!$C$5*Входы!$C$71*B102*C102*(1-D102)*E102*12</f>
        <v>7199.9999999999982</v>
      </c>
      <c r="I102" s="8">
        <f t="shared" si="2"/>
        <v>100372.40150002883</v>
      </c>
      <c r="J102" s="8">
        <f>I102-Входы!$C$75*12-Входы!$C$77-Входы!$C$78-Входы!$C$79*Входы!$C$8/Входы!$C$9</f>
        <v>-310858.48755552992</v>
      </c>
      <c r="K102" s="24" t="str">
        <f t="shared" si="3"/>
        <v>Да</v>
      </c>
    </row>
    <row r="103" spans="1:11" x14ac:dyDescent="0.25">
      <c r="A103" s="2">
        <v>28000</v>
      </c>
      <c r="B103" s="25">
        <v>1</v>
      </c>
      <c r="C103" s="25">
        <v>0.3</v>
      </c>
      <c r="D103" s="25">
        <v>0.8</v>
      </c>
      <c r="E103" s="19">
        <v>3</v>
      </c>
      <c r="F103" s="8">
        <f>A103*B103*C103*(1-D103)*(1-Входы!$C$73)*E103*12</f>
        <v>55641.599999999991</v>
      </c>
      <c r="G103" s="8">
        <f>(Входы!$C$67-Входы!$C$68)*Входы!$C$8/Входы!$C$9*E103*12</f>
        <v>84117.002250043268</v>
      </c>
      <c r="H103" s="8">
        <f>Входы!$C$5*Входы!$C$71*B103*C103*(1-D103)*E103*12</f>
        <v>10799.999999999996</v>
      </c>
      <c r="I103" s="8">
        <f t="shared" si="2"/>
        <v>150558.60225004324</v>
      </c>
      <c r="J103" s="8">
        <f>I103-Входы!$C$75*12-Входы!$C$77-Входы!$C$78-Входы!$C$79*Входы!$C$8/Входы!$C$9</f>
        <v>-260672.28680551553</v>
      </c>
      <c r="K103" s="24" t="str">
        <f t="shared" si="3"/>
        <v>Да</v>
      </c>
    </row>
    <row r="104" spans="1:11" x14ac:dyDescent="0.25">
      <c r="A104" s="2">
        <v>28000</v>
      </c>
      <c r="B104" s="25">
        <v>1</v>
      </c>
      <c r="C104" s="25">
        <v>0.3</v>
      </c>
      <c r="D104" s="25">
        <v>0.8</v>
      </c>
      <c r="E104" s="19">
        <v>4</v>
      </c>
      <c r="F104" s="8">
        <f>A104*B104*C104*(1-D104)*(1-Входы!$C$73)*E104*12</f>
        <v>74188.799999999988</v>
      </c>
      <c r="G104" s="8">
        <f>(Входы!$C$67-Входы!$C$68)*Входы!$C$8/Входы!$C$9*E104*12</f>
        <v>112156.00300005768</v>
      </c>
      <c r="H104" s="8">
        <f>Входы!$C$5*Входы!$C$71*B104*C104*(1-D104)*E104*12</f>
        <v>14399.999999999996</v>
      </c>
      <c r="I104" s="8">
        <f t="shared" si="2"/>
        <v>200744.80300005767</v>
      </c>
      <c r="J104" s="8">
        <f>I104-Входы!$C$75*12-Входы!$C$77-Входы!$C$78-Входы!$C$79*Входы!$C$8/Входы!$C$9</f>
        <v>-210486.0860555011</v>
      </c>
      <c r="K104" s="24" t="str">
        <f t="shared" si="3"/>
        <v>Да</v>
      </c>
    </row>
    <row r="105" spans="1:11" x14ac:dyDescent="0.25">
      <c r="A105" s="2">
        <v>28000</v>
      </c>
      <c r="B105" s="25">
        <v>1</v>
      </c>
      <c r="C105" s="25">
        <v>0.3</v>
      </c>
      <c r="D105" s="25">
        <v>0.98</v>
      </c>
      <c r="E105" s="19">
        <v>0</v>
      </c>
      <c r="F105" s="8">
        <f>A105*B105*C105*(1-D105)*(1-Входы!$C$73)*E105*12</f>
        <v>0</v>
      </c>
      <c r="G105" s="8">
        <f>(Входы!$C$67-Входы!$C$68)*Входы!$C$8/Входы!$C$9*E105*12</f>
        <v>0</v>
      </c>
      <c r="H105" s="8">
        <f>Входы!$C$5*Входы!$C$71*B105*C105*(1-D105)*E105*12</f>
        <v>0</v>
      </c>
      <c r="I105" s="8">
        <f t="shared" si="2"/>
        <v>0</v>
      </c>
      <c r="J105" s="8">
        <f>I105-Входы!$C$75*12-Входы!$C$77-Входы!$C$78-Входы!$C$79*Входы!$C$8/Входы!$C$9</f>
        <v>-411230.88905555877</v>
      </c>
      <c r="K105" s="24" t="str">
        <f t="shared" si="3"/>
        <v>Да</v>
      </c>
    </row>
    <row r="106" spans="1:11" x14ac:dyDescent="0.25">
      <c r="A106" s="2">
        <v>28000</v>
      </c>
      <c r="B106" s="25">
        <v>1</v>
      </c>
      <c r="C106" s="25">
        <v>0.3</v>
      </c>
      <c r="D106" s="25">
        <v>0.98</v>
      </c>
      <c r="E106" s="19">
        <v>1</v>
      </c>
      <c r="F106" s="8">
        <f>A106*B106*C106*(1-D106)*(1-Входы!$C$73)*E106*12</f>
        <v>1854.7200000000016</v>
      </c>
      <c r="G106" s="8">
        <f>(Входы!$C$67-Входы!$C$68)*Входы!$C$8/Входы!$C$9*E106*12</f>
        <v>28039.00075001442</v>
      </c>
      <c r="H106" s="8">
        <f>Входы!$C$5*Входы!$C$71*B106*C106*(1-D106)*E106*12</f>
        <v>360.00000000000034</v>
      </c>
      <c r="I106" s="8">
        <f t="shared" si="2"/>
        <v>30253.720750014421</v>
      </c>
      <c r="J106" s="8">
        <f>I106-Входы!$C$75*12-Входы!$C$77-Входы!$C$78-Входы!$C$79*Входы!$C$8/Входы!$C$9</f>
        <v>-380977.16830554436</v>
      </c>
      <c r="K106" s="24" t="str">
        <f t="shared" si="3"/>
        <v>Да</v>
      </c>
    </row>
    <row r="107" spans="1:11" x14ac:dyDescent="0.25">
      <c r="A107" s="2">
        <v>28000</v>
      </c>
      <c r="B107" s="25">
        <v>1</v>
      </c>
      <c r="C107" s="25">
        <v>0.3</v>
      </c>
      <c r="D107" s="25">
        <v>0.98</v>
      </c>
      <c r="E107" s="19">
        <v>2</v>
      </c>
      <c r="F107" s="8">
        <f>A107*B107*C107*(1-D107)*(1-Входы!$C$73)*E107*12</f>
        <v>3709.4400000000032</v>
      </c>
      <c r="G107" s="8">
        <f>(Входы!$C$67-Входы!$C$68)*Входы!$C$8/Входы!$C$9*E107*12</f>
        <v>56078.00150002884</v>
      </c>
      <c r="H107" s="8">
        <f>Входы!$C$5*Входы!$C$71*B107*C107*(1-D107)*E107*12</f>
        <v>720.00000000000068</v>
      </c>
      <c r="I107" s="8">
        <f t="shared" si="2"/>
        <v>60507.441500028843</v>
      </c>
      <c r="J107" s="8">
        <f>I107-Входы!$C$75*12-Входы!$C$77-Входы!$C$78-Входы!$C$79*Входы!$C$8/Входы!$C$9</f>
        <v>-350723.44755552994</v>
      </c>
      <c r="K107" s="24" t="str">
        <f t="shared" si="3"/>
        <v>Да</v>
      </c>
    </row>
    <row r="108" spans="1:11" x14ac:dyDescent="0.25">
      <c r="A108" s="2">
        <v>28000</v>
      </c>
      <c r="B108" s="25">
        <v>1</v>
      </c>
      <c r="C108" s="25">
        <v>0.3</v>
      </c>
      <c r="D108" s="25">
        <v>0.98</v>
      </c>
      <c r="E108" s="19">
        <v>3</v>
      </c>
      <c r="F108" s="8">
        <f>A108*B108*C108*(1-D108)*(1-Входы!$C$73)*E108*12</f>
        <v>5564.1600000000053</v>
      </c>
      <c r="G108" s="8">
        <f>(Входы!$C$67-Входы!$C$68)*Входы!$C$8/Входы!$C$9*E108*12</f>
        <v>84117.002250043268</v>
      </c>
      <c r="H108" s="8">
        <f>Входы!$C$5*Входы!$C$71*B108*C108*(1-D108)*E108*12</f>
        <v>1080.0000000000009</v>
      </c>
      <c r="I108" s="8">
        <f t="shared" si="2"/>
        <v>90761.162250043271</v>
      </c>
      <c r="J108" s="8">
        <f>I108-Входы!$C$75*12-Входы!$C$77-Входы!$C$78-Входы!$C$79*Входы!$C$8/Входы!$C$9</f>
        <v>-320469.72680551553</v>
      </c>
      <c r="K108" s="24" t="str">
        <f t="shared" si="3"/>
        <v>Да</v>
      </c>
    </row>
    <row r="109" spans="1:11" x14ac:dyDescent="0.25">
      <c r="A109" s="2">
        <v>28000</v>
      </c>
      <c r="B109" s="25">
        <v>1</v>
      </c>
      <c r="C109" s="25">
        <v>0.3</v>
      </c>
      <c r="D109" s="25">
        <v>0.98</v>
      </c>
      <c r="E109" s="19">
        <v>4</v>
      </c>
      <c r="F109" s="8">
        <f>A109*B109*C109*(1-D109)*(1-Входы!$C$73)*E109*12</f>
        <v>7418.8800000000065</v>
      </c>
      <c r="G109" s="8">
        <f>(Входы!$C$67-Входы!$C$68)*Входы!$C$8/Входы!$C$9*E109*12</f>
        <v>112156.00300005768</v>
      </c>
      <c r="H109" s="8">
        <f>Входы!$C$5*Входы!$C$71*B109*C109*(1-D109)*E109*12</f>
        <v>1440.0000000000014</v>
      </c>
      <c r="I109" s="8">
        <f t="shared" si="2"/>
        <v>121014.88300005769</v>
      </c>
      <c r="J109" s="8">
        <f>I109-Входы!$C$75*12-Входы!$C$77-Входы!$C$78-Входы!$C$79*Входы!$C$8/Входы!$C$9</f>
        <v>-290216.00605550112</v>
      </c>
      <c r="K109" s="24" t="str">
        <f t="shared" si="3"/>
        <v>Да</v>
      </c>
    </row>
    <row r="110" spans="1:11" x14ac:dyDescent="0.25">
      <c r="A110" s="2">
        <v>28000</v>
      </c>
      <c r="B110" s="25">
        <v>1</v>
      </c>
      <c r="C110" s="25">
        <v>0.6</v>
      </c>
      <c r="D110" s="25">
        <v>0</v>
      </c>
      <c r="E110" s="19">
        <v>0</v>
      </c>
      <c r="F110" s="8">
        <f>A110*B110*C110*(1-D110)*(1-Входы!$C$73)*E110*12</f>
        <v>0</v>
      </c>
      <c r="G110" s="8">
        <f>(Входы!$C$67-Входы!$C$68)*Входы!$C$8/Входы!$C$9*E110*12</f>
        <v>0</v>
      </c>
      <c r="H110" s="8">
        <f>Входы!$C$5*Входы!$C$71*B110*C110*(1-D110)*E110*12</f>
        <v>0</v>
      </c>
      <c r="I110" s="8">
        <f t="shared" si="2"/>
        <v>0</v>
      </c>
      <c r="J110" s="8">
        <f>I110-Входы!$C$75*12-Входы!$C$77-Входы!$C$78-Входы!$C$79*Входы!$C$8/Входы!$C$9</f>
        <v>-411230.88905555877</v>
      </c>
      <c r="K110" s="24" t="str">
        <f t="shared" si="3"/>
        <v>Да</v>
      </c>
    </row>
    <row r="111" spans="1:11" x14ac:dyDescent="0.25">
      <c r="A111" s="2">
        <v>28000</v>
      </c>
      <c r="B111" s="25">
        <v>1</v>
      </c>
      <c r="C111" s="25">
        <v>0.6</v>
      </c>
      <c r="D111" s="25">
        <v>0</v>
      </c>
      <c r="E111" s="19">
        <v>1</v>
      </c>
      <c r="F111" s="8">
        <f>A111*B111*C111*(1-D111)*(1-Входы!$C$73)*E111*12</f>
        <v>185472</v>
      </c>
      <c r="G111" s="8">
        <f>(Входы!$C$67-Входы!$C$68)*Входы!$C$8/Входы!$C$9*E111*12</f>
        <v>28039.00075001442</v>
      </c>
      <c r="H111" s="8">
        <f>Входы!$C$5*Входы!$C$71*B111*C111*(1-D111)*E111*12</f>
        <v>36000</v>
      </c>
      <c r="I111" s="8">
        <f t="shared" si="2"/>
        <v>249511.00075001441</v>
      </c>
      <c r="J111" s="8">
        <f>I111-Входы!$C$75*12-Входы!$C$77-Входы!$C$78-Входы!$C$79*Входы!$C$8/Входы!$C$9</f>
        <v>-161719.88830554436</v>
      </c>
      <c r="K111" s="24" t="str">
        <f t="shared" si="3"/>
        <v>Да</v>
      </c>
    </row>
    <row r="112" spans="1:11" x14ac:dyDescent="0.25">
      <c r="A112" s="2">
        <v>28000</v>
      </c>
      <c r="B112" s="25">
        <v>1</v>
      </c>
      <c r="C112" s="25">
        <v>0.6</v>
      </c>
      <c r="D112" s="25">
        <v>0</v>
      </c>
      <c r="E112" s="19">
        <v>2</v>
      </c>
      <c r="F112" s="8">
        <f>A112*B112*C112*(1-D112)*(1-Входы!$C$73)*E112*12</f>
        <v>370944</v>
      </c>
      <c r="G112" s="8">
        <f>(Входы!$C$67-Входы!$C$68)*Входы!$C$8/Входы!$C$9*E112*12</f>
        <v>56078.00150002884</v>
      </c>
      <c r="H112" s="8">
        <f>Входы!$C$5*Входы!$C$71*B112*C112*(1-D112)*E112*12</f>
        <v>72000</v>
      </c>
      <c r="I112" s="8">
        <f t="shared" si="2"/>
        <v>499022.00150002883</v>
      </c>
      <c r="J112" s="8">
        <f>I112-Входы!$C$75*12-Входы!$C$77-Входы!$C$78-Входы!$C$79*Входы!$C$8/Входы!$C$9</f>
        <v>87791.112444470069</v>
      </c>
      <c r="K112" s="24" t="str">
        <f t="shared" si="3"/>
        <v>Нет</v>
      </c>
    </row>
    <row r="113" spans="1:11" x14ac:dyDescent="0.25">
      <c r="A113" s="2">
        <v>28000</v>
      </c>
      <c r="B113" s="25">
        <v>1</v>
      </c>
      <c r="C113" s="25">
        <v>0.6</v>
      </c>
      <c r="D113" s="25">
        <v>0</v>
      </c>
      <c r="E113" s="19">
        <v>3</v>
      </c>
      <c r="F113" s="8">
        <f>A113*B113*C113*(1-D113)*(1-Входы!$C$73)*E113*12</f>
        <v>556416</v>
      </c>
      <c r="G113" s="8">
        <f>(Входы!$C$67-Входы!$C$68)*Входы!$C$8/Входы!$C$9*E113*12</f>
        <v>84117.002250043268</v>
      </c>
      <c r="H113" s="8">
        <f>Входы!$C$5*Входы!$C$71*B113*C113*(1-D113)*E113*12</f>
        <v>108000</v>
      </c>
      <c r="I113" s="8">
        <f t="shared" si="2"/>
        <v>748533.00225004321</v>
      </c>
      <c r="J113" s="8">
        <f>I113-Входы!$C$75*12-Входы!$C$77-Входы!$C$78-Входы!$C$79*Входы!$C$8/Входы!$C$9</f>
        <v>337302.11319448444</v>
      </c>
      <c r="K113" s="24" t="str">
        <f t="shared" si="3"/>
        <v>Нет</v>
      </c>
    </row>
    <row r="114" spans="1:11" x14ac:dyDescent="0.25">
      <c r="A114" s="2">
        <v>28000</v>
      </c>
      <c r="B114" s="25">
        <v>1</v>
      </c>
      <c r="C114" s="25">
        <v>0.6</v>
      </c>
      <c r="D114" s="25">
        <v>0</v>
      </c>
      <c r="E114" s="19">
        <v>4</v>
      </c>
      <c r="F114" s="8">
        <f>A114*B114*C114*(1-D114)*(1-Входы!$C$73)*E114*12</f>
        <v>741888</v>
      </c>
      <c r="G114" s="8">
        <f>(Входы!$C$67-Входы!$C$68)*Входы!$C$8/Входы!$C$9*E114*12</f>
        <v>112156.00300005768</v>
      </c>
      <c r="H114" s="8">
        <f>Входы!$C$5*Входы!$C$71*B114*C114*(1-D114)*E114*12</f>
        <v>144000</v>
      </c>
      <c r="I114" s="8">
        <f t="shared" si="2"/>
        <v>998044.00300005765</v>
      </c>
      <c r="J114" s="8">
        <f>I114-Входы!$C$75*12-Входы!$C$77-Входы!$C$78-Входы!$C$79*Входы!$C$8/Входы!$C$9</f>
        <v>586813.11394449894</v>
      </c>
      <c r="K114" s="24" t="str">
        <f t="shared" si="3"/>
        <v>Нет</v>
      </c>
    </row>
    <row r="115" spans="1:11" x14ac:dyDescent="0.25">
      <c r="A115" s="2">
        <v>28000</v>
      </c>
      <c r="B115" s="25">
        <v>1</v>
      </c>
      <c r="C115" s="25">
        <v>0.6</v>
      </c>
      <c r="D115" s="25">
        <v>0.8</v>
      </c>
      <c r="E115" s="19">
        <v>0</v>
      </c>
      <c r="F115" s="8">
        <f>A115*B115*C115*(1-D115)*(1-Входы!$C$73)*E115*12</f>
        <v>0</v>
      </c>
      <c r="G115" s="8">
        <f>(Входы!$C$67-Входы!$C$68)*Входы!$C$8/Входы!$C$9*E115*12</f>
        <v>0</v>
      </c>
      <c r="H115" s="8">
        <f>Входы!$C$5*Входы!$C$71*B115*C115*(1-D115)*E115*12</f>
        <v>0</v>
      </c>
      <c r="I115" s="8">
        <f t="shared" si="2"/>
        <v>0</v>
      </c>
      <c r="J115" s="8">
        <f>I115-Входы!$C$75*12-Входы!$C$77-Входы!$C$78-Входы!$C$79*Входы!$C$8/Входы!$C$9</f>
        <v>-411230.88905555877</v>
      </c>
      <c r="K115" s="24" t="str">
        <f t="shared" si="3"/>
        <v>Да</v>
      </c>
    </row>
    <row r="116" spans="1:11" x14ac:dyDescent="0.25">
      <c r="A116" s="2">
        <v>28000</v>
      </c>
      <c r="B116" s="25">
        <v>1</v>
      </c>
      <c r="C116" s="25">
        <v>0.6</v>
      </c>
      <c r="D116" s="25">
        <v>0.8</v>
      </c>
      <c r="E116" s="19">
        <v>1</v>
      </c>
      <c r="F116" s="8">
        <f>A116*B116*C116*(1-D116)*(1-Входы!$C$73)*E116*12</f>
        <v>37094.399999999994</v>
      </c>
      <c r="G116" s="8">
        <f>(Входы!$C$67-Входы!$C$68)*Входы!$C$8/Входы!$C$9*E116*12</f>
        <v>28039.00075001442</v>
      </c>
      <c r="H116" s="8">
        <f>Входы!$C$5*Входы!$C$71*B116*C116*(1-D116)*E116*12</f>
        <v>7199.9999999999982</v>
      </c>
      <c r="I116" s="8">
        <f t="shared" si="2"/>
        <v>72333.400750014407</v>
      </c>
      <c r="J116" s="8">
        <f>I116-Входы!$C$75*12-Входы!$C$77-Входы!$C$78-Входы!$C$79*Входы!$C$8/Входы!$C$9</f>
        <v>-338897.48830554436</v>
      </c>
      <c r="K116" s="24" t="str">
        <f t="shared" si="3"/>
        <v>Да</v>
      </c>
    </row>
    <row r="117" spans="1:11" x14ac:dyDescent="0.25">
      <c r="A117" s="2">
        <v>28000</v>
      </c>
      <c r="B117" s="25">
        <v>1</v>
      </c>
      <c r="C117" s="25">
        <v>0.6</v>
      </c>
      <c r="D117" s="25">
        <v>0.8</v>
      </c>
      <c r="E117" s="19">
        <v>2</v>
      </c>
      <c r="F117" s="8">
        <f>A117*B117*C117*(1-D117)*(1-Входы!$C$73)*E117*12</f>
        <v>74188.799999999988</v>
      </c>
      <c r="G117" s="8">
        <f>(Входы!$C$67-Входы!$C$68)*Входы!$C$8/Входы!$C$9*E117*12</f>
        <v>56078.00150002884</v>
      </c>
      <c r="H117" s="8">
        <f>Входы!$C$5*Входы!$C$71*B117*C117*(1-D117)*E117*12</f>
        <v>14399.999999999996</v>
      </c>
      <c r="I117" s="8">
        <f t="shared" si="2"/>
        <v>144666.80150002881</v>
      </c>
      <c r="J117" s="8">
        <f>I117-Входы!$C$75*12-Входы!$C$77-Входы!$C$78-Входы!$C$79*Входы!$C$8/Входы!$C$9</f>
        <v>-266564.08755552996</v>
      </c>
      <c r="K117" s="24" t="str">
        <f t="shared" si="3"/>
        <v>Да</v>
      </c>
    </row>
    <row r="118" spans="1:11" x14ac:dyDescent="0.25">
      <c r="A118" s="2">
        <v>28000</v>
      </c>
      <c r="B118" s="25">
        <v>1</v>
      </c>
      <c r="C118" s="25">
        <v>0.6</v>
      </c>
      <c r="D118" s="25">
        <v>0.8</v>
      </c>
      <c r="E118" s="19">
        <v>3</v>
      </c>
      <c r="F118" s="8">
        <f>A118*B118*C118*(1-D118)*(1-Входы!$C$73)*E118*12</f>
        <v>111283.19999999998</v>
      </c>
      <c r="G118" s="8">
        <f>(Входы!$C$67-Входы!$C$68)*Входы!$C$8/Входы!$C$9*E118*12</f>
        <v>84117.002250043268</v>
      </c>
      <c r="H118" s="8">
        <f>Входы!$C$5*Входы!$C$71*B118*C118*(1-D118)*E118*12</f>
        <v>21599.999999999993</v>
      </c>
      <c r="I118" s="8">
        <f t="shared" si="2"/>
        <v>217000.20225004325</v>
      </c>
      <c r="J118" s="8">
        <f>I118-Входы!$C$75*12-Входы!$C$77-Входы!$C$78-Входы!$C$79*Входы!$C$8/Входы!$C$9</f>
        <v>-194230.68680551552</v>
      </c>
      <c r="K118" s="24" t="str">
        <f t="shared" si="3"/>
        <v>Да</v>
      </c>
    </row>
    <row r="119" spans="1:11" x14ac:dyDescent="0.25">
      <c r="A119" s="2">
        <v>28000</v>
      </c>
      <c r="B119" s="25">
        <v>1</v>
      </c>
      <c r="C119" s="25">
        <v>0.6</v>
      </c>
      <c r="D119" s="25">
        <v>0.8</v>
      </c>
      <c r="E119" s="19">
        <v>4</v>
      </c>
      <c r="F119" s="8">
        <f>A119*B119*C119*(1-D119)*(1-Входы!$C$73)*E119*12</f>
        <v>148377.59999999998</v>
      </c>
      <c r="G119" s="8">
        <f>(Входы!$C$67-Входы!$C$68)*Входы!$C$8/Входы!$C$9*E119*12</f>
        <v>112156.00300005768</v>
      </c>
      <c r="H119" s="8">
        <f>Входы!$C$5*Входы!$C$71*B119*C119*(1-D119)*E119*12</f>
        <v>28799.999999999993</v>
      </c>
      <c r="I119" s="8">
        <f t="shared" si="2"/>
        <v>289333.60300005763</v>
      </c>
      <c r="J119" s="8">
        <f>I119-Входы!$C$75*12-Входы!$C$77-Входы!$C$78-Входы!$C$79*Входы!$C$8/Входы!$C$9</f>
        <v>-121897.28605550113</v>
      </c>
      <c r="K119" s="24" t="str">
        <f t="shared" si="3"/>
        <v>Да</v>
      </c>
    </row>
    <row r="120" spans="1:11" x14ac:dyDescent="0.25">
      <c r="A120" s="2">
        <v>28000</v>
      </c>
      <c r="B120" s="25">
        <v>1</v>
      </c>
      <c r="C120" s="25">
        <v>0.6</v>
      </c>
      <c r="D120" s="25">
        <v>0.98</v>
      </c>
      <c r="E120" s="19">
        <v>0</v>
      </c>
      <c r="F120" s="8">
        <f>A120*B120*C120*(1-D120)*(1-Входы!$C$73)*E120*12</f>
        <v>0</v>
      </c>
      <c r="G120" s="8">
        <f>(Входы!$C$67-Входы!$C$68)*Входы!$C$8/Входы!$C$9*E120*12</f>
        <v>0</v>
      </c>
      <c r="H120" s="8">
        <f>Входы!$C$5*Входы!$C$71*B120*C120*(1-D120)*E120*12</f>
        <v>0</v>
      </c>
      <c r="I120" s="8">
        <f t="shared" si="2"/>
        <v>0</v>
      </c>
      <c r="J120" s="8">
        <f>I120-Входы!$C$75*12-Входы!$C$77-Входы!$C$78-Входы!$C$79*Входы!$C$8/Входы!$C$9</f>
        <v>-411230.88905555877</v>
      </c>
      <c r="K120" s="24" t="str">
        <f t="shared" si="3"/>
        <v>Да</v>
      </c>
    </row>
    <row r="121" spans="1:11" x14ac:dyDescent="0.25">
      <c r="A121" s="2">
        <v>28000</v>
      </c>
      <c r="B121" s="25">
        <v>1</v>
      </c>
      <c r="C121" s="25">
        <v>0.6</v>
      </c>
      <c r="D121" s="25">
        <v>0.98</v>
      </c>
      <c r="E121" s="19">
        <v>1</v>
      </c>
      <c r="F121" s="8">
        <f>A121*B121*C121*(1-D121)*(1-Входы!$C$73)*E121*12</f>
        <v>3709.4400000000032</v>
      </c>
      <c r="G121" s="8">
        <f>(Входы!$C$67-Входы!$C$68)*Входы!$C$8/Входы!$C$9*E121*12</f>
        <v>28039.00075001442</v>
      </c>
      <c r="H121" s="8">
        <f>Входы!$C$5*Входы!$C$71*B121*C121*(1-D121)*E121*12</f>
        <v>720.00000000000068</v>
      </c>
      <c r="I121" s="8">
        <f t="shared" si="2"/>
        <v>32468.440750014423</v>
      </c>
      <c r="J121" s="8">
        <f>I121-Входы!$C$75*12-Входы!$C$77-Входы!$C$78-Входы!$C$79*Входы!$C$8/Входы!$C$9</f>
        <v>-378762.44830554433</v>
      </c>
      <c r="K121" s="24" t="str">
        <f t="shared" si="3"/>
        <v>Да</v>
      </c>
    </row>
    <row r="122" spans="1:11" x14ac:dyDescent="0.25">
      <c r="A122" s="2">
        <v>28000</v>
      </c>
      <c r="B122" s="25">
        <v>1</v>
      </c>
      <c r="C122" s="25">
        <v>0.6</v>
      </c>
      <c r="D122" s="25">
        <v>0.98</v>
      </c>
      <c r="E122" s="19">
        <v>2</v>
      </c>
      <c r="F122" s="8">
        <f>A122*B122*C122*(1-D122)*(1-Входы!$C$73)*E122*12</f>
        <v>7418.8800000000065</v>
      </c>
      <c r="G122" s="8">
        <f>(Входы!$C$67-Входы!$C$68)*Входы!$C$8/Входы!$C$9*E122*12</f>
        <v>56078.00150002884</v>
      </c>
      <c r="H122" s="8">
        <f>Входы!$C$5*Входы!$C$71*B122*C122*(1-D122)*E122*12</f>
        <v>1440.0000000000014</v>
      </c>
      <c r="I122" s="8">
        <f t="shared" si="2"/>
        <v>64936.881500028845</v>
      </c>
      <c r="J122" s="8">
        <f>I122-Входы!$C$75*12-Входы!$C$77-Входы!$C$78-Входы!$C$79*Входы!$C$8/Входы!$C$9</f>
        <v>-346294.00755552994</v>
      </c>
      <c r="K122" s="24" t="str">
        <f t="shared" si="3"/>
        <v>Да</v>
      </c>
    </row>
    <row r="123" spans="1:11" x14ac:dyDescent="0.25">
      <c r="A123" s="2">
        <v>28000</v>
      </c>
      <c r="B123" s="25">
        <v>1</v>
      </c>
      <c r="C123" s="25">
        <v>0.6</v>
      </c>
      <c r="D123" s="25">
        <v>0.98</v>
      </c>
      <c r="E123" s="19">
        <v>3</v>
      </c>
      <c r="F123" s="8">
        <f>A123*B123*C123*(1-D123)*(1-Входы!$C$73)*E123*12</f>
        <v>11128.320000000011</v>
      </c>
      <c r="G123" s="8">
        <f>(Входы!$C$67-Входы!$C$68)*Входы!$C$8/Входы!$C$9*E123*12</f>
        <v>84117.002250043268</v>
      </c>
      <c r="H123" s="8">
        <f>Входы!$C$5*Входы!$C$71*B123*C123*(1-D123)*E123*12</f>
        <v>2160.0000000000018</v>
      </c>
      <c r="I123" s="8">
        <f t="shared" si="2"/>
        <v>97405.322250043275</v>
      </c>
      <c r="J123" s="8">
        <f>I123-Входы!$C$75*12-Входы!$C$77-Входы!$C$78-Входы!$C$79*Входы!$C$8/Входы!$C$9</f>
        <v>-313825.5668055155</v>
      </c>
      <c r="K123" s="24" t="str">
        <f t="shared" si="3"/>
        <v>Да</v>
      </c>
    </row>
    <row r="124" spans="1:11" x14ac:dyDescent="0.25">
      <c r="A124" s="2">
        <v>28000</v>
      </c>
      <c r="B124" s="25">
        <v>1</v>
      </c>
      <c r="C124" s="25">
        <v>0.6</v>
      </c>
      <c r="D124" s="25">
        <v>0.98</v>
      </c>
      <c r="E124" s="19">
        <v>4</v>
      </c>
      <c r="F124" s="8">
        <f>A124*B124*C124*(1-D124)*(1-Входы!$C$73)*E124*12</f>
        <v>14837.760000000013</v>
      </c>
      <c r="G124" s="8">
        <f>(Входы!$C$67-Входы!$C$68)*Входы!$C$8/Входы!$C$9*E124*12</f>
        <v>112156.00300005768</v>
      </c>
      <c r="H124" s="8">
        <f>Входы!$C$5*Входы!$C$71*B124*C124*(1-D124)*E124*12</f>
        <v>2880.0000000000027</v>
      </c>
      <c r="I124" s="8">
        <f t="shared" si="2"/>
        <v>129873.76300005769</v>
      </c>
      <c r="J124" s="8">
        <f>I124-Входы!$C$75*12-Входы!$C$77-Входы!$C$78-Входы!$C$79*Входы!$C$8/Входы!$C$9</f>
        <v>-281357.12605550111</v>
      </c>
      <c r="K124" s="24" t="str">
        <f t="shared" si="3"/>
        <v>Да</v>
      </c>
    </row>
    <row r="125" spans="1:11" x14ac:dyDescent="0.25">
      <c r="A125" s="2">
        <v>28000</v>
      </c>
      <c r="B125" s="25">
        <v>1</v>
      </c>
      <c r="C125" s="25">
        <v>1</v>
      </c>
      <c r="D125" s="25">
        <v>0</v>
      </c>
      <c r="E125" s="19">
        <v>0</v>
      </c>
      <c r="F125" s="8">
        <f>A125*B125*C125*(1-D125)*(1-Входы!$C$73)*E125*12</f>
        <v>0</v>
      </c>
      <c r="G125" s="8">
        <f>(Входы!$C$67-Входы!$C$68)*Входы!$C$8/Входы!$C$9*E125*12</f>
        <v>0</v>
      </c>
      <c r="H125" s="8">
        <f>Входы!$C$5*Входы!$C$71*B125*C125*(1-D125)*E125*12</f>
        <v>0</v>
      </c>
      <c r="I125" s="8">
        <f t="shared" si="2"/>
        <v>0</v>
      </c>
      <c r="J125" s="8">
        <f>I125-Входы!$C$75*12-Входы!$C$77-Входы!$C$78-Входы!$C$79*Входы!$C$8/Входы!$C$9</f>
        <v>-411230.88905555877</v>
      </c>
      <c r="K125" s="24" t="str">
        <f t="shared" si="3"/>
        <v>Да</v>
      </c>
    </row>
    <row r="126" spans="1:11" x14ac:dyDescent="0.25">
      <c r="A126" s="2">
        <v>28000</v>
      </c>
      <c r="B126" s="25">
        <v>1</v>
      </c>
      <c r="C126" s="25">
        <v>1</v>
      </c>
      <c r="D126" s="25">
        <v>0</v>
      </c>
      <c r="E126" s="19">
        <v>1</v>
      </c>
      <c r="F126" s="8">
        <f>A126*B126*C126*(1-D126)*(1-Входы!$C$73)*E126*12</f>
        <v>309120</v>
      </c>
      <c r="G126" s="8">
        <f>(Входы!$C$67-Входы!$C$68)*Входы!$C$8/Входы!$C$9*E126*12</f>
        <v>28039.00075001442</v>
      </c>
      <c r="H126" s="8">
        <f>Входы!$C$5*Входы!$C$71*B126*C126*(1-D126)*E126*12</f>
        <v>60000</v>
      </c>
      <c r="I126" s="8">
        <f t="shared" si="2"/>
        <v>397159.00075001444</v>
      </c>
      <c r="J126" s="8">
        <f>I126-Входы!$C$75*12-Входы!$C$77-Входы!$C$78-Входы!$C$79*Входы!$C$8/Входы!$C$9</f>
        <v>-14071.888305544318</v>
      </c>
      <c r="K126" s="24" t="str">
        <f t="shared" si="3"/>
        <v>Да</v>
      </c>
    </row>
    <row r="127" spans="1:11" x14ac:dyDescent="0.25">
      <c r="A127" s="2">
        <v>28000</v>
      </c>
      <c r="B127" s="25">
        <v>1</v>
      </c>
      <c r="C127" s="25">
        <v>1</v>
      </c>
      <c r="D127" s="25">
        <v>0</v>
      </c>
      <c r="E127" s="19">
        <v>2</v>
      </c>
      <c r="F127" s="8">
        <f>A127*B127*C127*(1-D127)*(1-Входы!$C$73)*E127*12</f>
        <v>618240</v>
      </c>
      <c r="G127" s="8">
        <f>(Входы!$C$67-Входы!$C$68)*Входы!$C$8/Входы!$C$9*E127*12</f>
        <v>56078.00150002884</v>
      </c>
      <c r="H127" s="8">
        <f>Входы!$C$5*Входы!$C$71*B127*C127*(1-D127)*E127*12</f>
        <v>120000</v>
      </c>
      <c r="I127" s="8">
        <f t="shared" si="2"/>
        <v>794318.00150002888</v>
      </c>
      <c r="J127" s="8">
        <f>I127-Входы!$C$75*12-Входы!$C$77-Входы!$C$78-Входы!$C$79*Входы!$C$8/Входы!$C$9</f>
        <v>383087.11244447011</v>
      </c>
      <c r="K127" s="24" t="str">
        <f t="shared" si="3"/>
        <v>Нет</v>
      </c>
    </row>
    <row r="128" spans="1:11" x14ac:dyDescent="0.25">
      <c r="A128" s="2">
        <v>28000</v>
      </c>
      <c r="B128" s="25">
        <v>1</v>
      </c>
      <c r="C128" s="25">
        <v>1</v>
      </c>
      <c r="D128" s="25">
        <v>0</v>
      </c>
      <c r="E128" s="19">
        <v>3</v>
      </c>
      <c r="F128" s="8">
        <f>A128*B128*C128*(1-D128)*(1-Входы!$C$73)*E128*12</f>
        <v>927360</v>
      </c>
      <c r="G128" s="8">
        <f>(Входы!$C$67-Входы!$C$68)*Входы!$C$8/Входы!$C$9*E128*12</f>
        <v>84117.002250043268</v>
      </c>
      <c r="H128" s="8">
        <f>Входы!$C$5*Входы!$C$71*B128*C128*(1-D128)*E128*12</f>
        <v>180000</v>
      </c>
      <c r="I128" s="8">
        <f t="shared" si="2"/>
        <v>1191477.0022500432</v>
      </c>
      <c r="J128" s="8">
        <f>I128-Входы!$C$75*12-Входы!$C$77-Входы!$C$78-Входы!$C$79*Входы!$C$8/Входы!$C$9</f>
        <v>780246.1131944845</v>
      </c>
      <c r="K128" s="24" t="str">
        <f t="shared" si="3"/>
        <v>Нет</v>
      </c>
    </row>
    <row r="129" spans="1:11" x14ac:dyDescent="0.25">
      <c r="A129" s="2">
        <v>28000</v>
      </c>
      <c r="B129" s="25">
        <v>1</v>
      </c>
      <c r="C129" s="25">
        <v>1</v>
      </c>
      <c r="D129" s="25">
        <v>0</v>
      </c>
      <c r="E129" s="19">
        <v>4</v>
      </c>
      <c r="F129" s="8">
        <f>A129*B129*C129*(1-D129)*(1-Входы!$C$73)*E129*12</f>
        <v>1236480</v>
      </c>
      <c r="G129" s="8">
        <f>(Входы!$C$67-Входы!$C$68)*Входы!$C$8/Входы!$C$9*E129*12</f>
        <v>112156.00300005768</v>
      </c>
      <c r="H129" s="8">
        <f>Входы!$C$5*Входы!$C$71*B129*C129*(1-D129)*E129*12</f>
        <v>240000</v>
      </c>
      <c r="I129" s="8">
        <f t="shared" si="2"/>
        <v>1588636.0030000578</v>
      </c>
      <c r="J129" s="8">
        <f>I129-Входы!$C$75*12-Входы!$C$77-Входы!$C$78-Входы!$C$79*Входы!$C$8/Входы!$C$9</f>
        <v>1177405.1139444991</v>
      </c>
      <c r="K129" s="24" t="str">
        <f t="shared" si="3"/>
        <v>Нет</v>
      </c>
    </row>
    <row r="130" spans="1:11" x14ac:dyDescent="0.25">
      <c r="A130" s="2">
        <v>28000</v>
      </c>
      <c r="B130" s="25">
        <v>1</v>
      </c>
      <c r="C130" s="25">
        <v>1</v>
      </c>
      <c r="D130" s="25">
        <v>0.8</v>
      </c>
      <c r="E130" s="19">
        <v>0</v>
      </c>
      <c r="F130" s="8">
        <f>A130*B130*C130*(1-D130)*(1-Входы!$C$73)*E130*12</f>
        <v>0</v>
      </c>
      <c r="G130" s="8">
        <f>(Входы!$C$67-Входы!$C$68)*Входы!$C$8/Входы!$C$9*E130*12</f>
        <v>0</v>
      </c>
      <c r="H130" s="8">
        <f>Входы!$C$5*Входы!$C$71*B130*C130*(1-D130)*E130*12</f>
        <v>0</v>
      </c>
      <c r="I130" s="8">
        <f t="shared" si="2"/>
        <v>0</v>
      </c>
      <c r="J130" s="8">
        <f>I130-Входы!$C$75*12-Входы!$C$77-Входы!$C$78-Входы!$C$79*Входы!$C$8/Входы!$C$9</f>
        <v>-411230.88905555877</v>
      </c>
      <c r="K130" s="24" t="str">
        <f t="shared" si="3"/>
        <v>Да</v>
      </c>
    </row>
    <row r="131" spans="1:11" x14ac:dyDescent="0.25">
      <c r="A131" s="2">
        <v>28000</v>
      </c>
      <c r="B131" s="25">
        <v>1</v>
      </c>
      <c r="C131" s="25">
        <v>1</v>
      </c>
      <c r="D131" s="25">
        <v>0.8</v>
      </c>
      <c r="E131" s="19">
        <v>1</v>
      </c>
      <c r="F131" s="8">
        <f>A131*B131*C131*(1-D131)*(1-Входы!$C$73)*E131*12</f>
        <v>61823.999999999985</v>
      </c>
      <c r="G131" s="8">
        <f>(Входы!$C$67-Входы!$C$68)*Входы!$C$8/Входы!$C$9*E131*12</f>
        <v>28039.00075001442</v>
      </c>
      <c r="H131" s="8">
        <f>Входы!$C$5*Входы!$C$71*B131*C131*(1-D131)*E131*12</f>
        <v>11999.999999999996</v>
      </c>
      <c r="I131" s="8">
        <f t="shared" si="2"/>
        <v>101863.00075001441</v>
      </c>
      <c r="J131" s="8">
        <f>I131-Входы!$C$75*12-Входы!$C$77-Входы!$C$78-Входы!$C$79*Входы!$C$8/Входы!$C$9</f>
        <v>-309367.88830554433</v>
      </c>
      <c r="K131" s="24" t="str">
        <f t="shared" si="3"/>
        <v>Да</v>
      </c>
    </row>
    <row r="132" spans="1:11" x14ac:dyDescent="0.25">
      <c r="A132" s="2">
        <v>28000</v>
      </c>
      <c r="B132" s="25">
        <v>1</v>
      </c>
      <c r="C132" s="25">
        <v>1</v>
      </c>
      <c r="D132" s="25">
        <v>0.8</v>
      </c>
      <c r="E132" s="19">
        <v>2</v>
      </c>
      <c r="F132" s="8">
        <f>A132*B132*C132*(1-D132)*(1-Входы!$C$73)*E132*12</f>
        <v>123647.99999999997</v>
      </c>
      <c r="G132" s="8">
        <f>(Входы!$C$67-Входы!$C$68)*Входы!$C$8/Входы!$C$9*E132*12</f>
        <v>56078.00150002884</v>
      </c>
      <c r="H132" s="8">
        <f>Входы!$C$5*Входы!$C$71*B132*C132*(1-D132)*E132*12</f>
        <v>23999.999999999993</v>
      </c>
      <c r="I132" s="8">
        <f t="shared" si="2"/>
        <v>203726.00150002883</v>
      </c>
      <c r="J132" s="8">
        <f>I132-Входы!$C$75*12-Входы!$C$77-Входы!$C$78-Входы!$C$79*Входы!$C$8/Входы!$C$9</f>
        <v>-207504.88755552995</v>
      </c>
      <c r="K132" s="24" t="str">
        <f t="shared" si="3"/>
        <v>Да</v>
      </c>
    </row>
    <row r="133" spans="1:11" x14ac:dyDescent="0.25">
      <c r="A133" s="2">
        <v>28000</v>
      </c>
      <c r="B133" s="25">
        <v>1</v>
      </c>
      <c r="C133" s="25">
        <v>1</v>
      </c>
      <c r="D133" s="25">
        <v>0.8</v>
      </c>
      <c r="E133" s="19">
        <v>3</v>
      </c>
      <c r="F133" s="8">
        <f>A133*B133*C133*(1-D133)*(1-Входы!$C$73)*E133*12</f>
        <v>185471.99999999994</v>
      </c>
      <c r="G133" s="8">
        <f>(Входы!$C$67-Входы!$C$68)*Входы!$C$8/Входы!$C$9*E133*12</f>
        <v>84117.002250043268</v>
      </c>
      <c r="H133" s="8">
        <f>Входы!$C$5*Входы!$C$71*B133*C133*(1-D133)*E133*12</f>
        <v>35999.999999999985</v>
      </c>
      <c r="I133" s="8">
        <f t="shared" ref="I133:I196" si="4">SUM(F133:H133)</f>
        <v>305589.00225004321</v>
      </c>
      <c r="J133" s="8">
        <f>I133-Входы!$C$75*12-Входы!$C$77-Входы!$C$78-Входы!$C$79*Входы!$C$8/Входы!$C$9</f>
        <v>-105641.88680551555</v>
      </c>
      <c r="K133" s="24" t="str">
        <f t="shared" ref="K133:K196" si="5">IF(J133&lt;=0,"Да","Нет")</f>
        <v>Да</v>
      </c>
    </row>
    <row r="134" spans="1:11" x14ac:dyDescent="0.25">
      <c r="A134" s="2">
        <v>28000</v>
      </c>
      <c r="B134" s="25">
        <v>1</v>
      </c>
      <c r="C134" s="25">
        <v>1</v>
      </c>
      <c r="D134" s="25">
        <v>0.8</v>
      </c>
      <c r="E134" s="19">
        <v>4</v>
      </c>
      <c r="F134" s="8">
        <f>A134*B134*C134*(1-D134)*(1-Входы!$C$73)*E134*12</f>
        <v>247295.99999999994</v>
      </c>
      <c r="G134" s="8">
        <f>(Входы!$C$67-Входы!$C$68)*Входы!$C$8/Входы!$C$9*E134*12</f>
        <v>112156.00300005768</v>
      </c>
      <c r="H134" s="8">
        <f>Входы!$C$5*Входы!$C$71*B134*C134*(1-D134)*E134*12</f>
        <v>47999.999999999985</v>
      </c>
      <c r="I134" s="8">
        <f t="shared" si="4"/>
        <v>407452.00300005765</v>
      </c>
      <c r="J134" s="8">
        <f>I134-Входы!$C$75*12-Входы!$C$77-Входы!$C$78-Входы!$C$79*Входы!$C$8/Входы!$C$9</f>
        <v>-3778.8860555011088</v>
      </c>
      <c r="K134" s="24" t="str">
        <f t="shared" si="5"/>
        <v>Да</v>
      </c>
    </row>
    <row r="135" spans="1:11" x14ac:dyDescent="0.25">
      <c r="A135" s="2">
        <v>28000</v>
      </c>
      <c r="B135" s="25">
        <v>1</v>
      </c>
      <c r="C135" s="25">
        <v>1</v>
      </c>
      <c r="D135" s="25">
        <v>0.98</v>
      </c>
      <c r="E135" s="19">
        <v>0</v>
      </c>
      <c r="F135" s="8">
        <f>A135*B135*C135*(1-D135)*(1-Входы!$C$73)*E135*12</f>
        <v>0</v>
      </c>
      <c r="G135" s="8">
        <f>(Входы!$C$67-Входы!$C$68)*Входы!$C$8/Входы!$C$9*E135*12</f>
        <v>0</v>
      </c>
      <c r="H135" s="8">
        <f>Входы!$C$5*Входы!$C$71*B135*C135*(1-D135)*E135*12</f>
        <v>0</v>
      </c>
      <c r="I135" s="8">
        <f t="shared" si="4"/>
        <v>0</v>
      </c>
      <c r="J135" s="8">
        <f>I135-Входы!$C$75*12-Входы!$C$77-Входы!$C$78-Входы!$C$79*Входы!$C$8/Входы!$C$9</f>
        <v>-411230.88905555877</v>
      </c>
      <c r="K135" s="24" t="str">
        <f t="shared" si="5"/>
        <v>Да</v>
      </c>
    </row>
    <row r="136" spans="1:11" x14ac:dyDescent="0.25">
      <c r="A136" s="2">
        <v>28000</v>
      </c>
      <c r="B136" s="25">
        <v>1</v>
      </c>
      <c r="C136" s="25">
        <v>1</v>
      </c>
      <c r="D136" s="25">
        <v>0.98</v>
      </c>
      <c r="E136" s="19">
        <v>1</v>
      </c>
      <c r="F136" s="8">
        <f>A136*B136*C136*(1-D136)*(1-Входы!$C$73)*E136*12</f>
        <v>6182.4000000000051</v>
      </c>
      <c r="G136" s="8">
        <f>(Входы!$C$67-Входы!$C$68)*Входы!$C$8/Входы!$C$9*E136*12</f>
        <v>28039.00075001442</v>
      </c>
      <c r="H136" s="8">
        <f>Входы!$C$5*Входы!$C$71*B136*C136*(1-D136)*E136*12</f>
        <v>1200.0000000000009</v>
      </c>
      <c r="I136" s="8">
        <f t="shared" si="4"/>
        <v>35421.400750014422</v>
      </c>
      <c r="J136" s="8">
        <f>I136-Входы!$C$75*12-Входы!$C$77-Входы!$C$78-Входы!$C$79*Входы!$C$8/Входы!$C$9</f>
        <v>-375809.48830554436</v>
      </c>
      <c r="K136" s="24" t="str">
        <f t="shared" si="5"/>
        <v>Да</v>
      </c>
    </row>
    <row r="137" spans="1:11" x14ac:dyDescent="0.25">
      <c r="A137" s="2">
        <v>28000</v>
      </c>
      <c r="B137" s="25">
        <v>1</v>
      </c>
      <c r="C137" s="25">
        <v>1</v>
      </c>
      <c r="D137" s="25">
        <v>0.98</v>
      </c>
      <c r="E137" s="19">
        <v>2</v>
      </c>
      <c r="F137" s="8">
        <f>A137*B137*C137*(1-D137)*(1-Входы!$C$73)*E137*12</f>
        <v>12364.80000000001</v>
      </c>
      <c r="G137" s="8">
        <f>(Входы!$C$67-Входы!$C$68)*Входы!$C$8/Входы!$C$9*E137*12</f>
        <v>56078.00150002884</v>
      </c>
      <c r="H137" s="8">
        <f>Входы!$C$5*Входы!$C$71*B137*C137*(1-D137)*E137*12</f>
        <v>2400.0000000000018</v>
      </c>
      <c r="I137" s="8">
        <f t="shared" si="4"/>
        <v>70842.801500028843</v>
      </c>
      <c r="J137" s="8">
        <f>I137-Входы!$C$75*12-Входы!$C$77-Входы!$C$78-Входы!$C$79*Входы!$C$8/Входы!$C$9</f>
        <v>-340388.08755552996</v>
      </c>
      <c r="K137" s="24" t="str">
        <f t="shared" si="5"/>
        <v>Да</v>
      </c>
    </row>
    <row r="138" spans="1:11" x14ac:dyDescent="0.25">
      <c r="A138" s="2">
        <v>28000</v>
      </c>
      <c r="B138" s="25">
        <v>1</v>
      </c>
      <c r="C138" s="25">
        <v>1</v>
      </c>
      <c r="D138" s="25">
        <v>0.98</v>
      </c>
      <c r="E138" s="19">
        <v>3</v>
      </c>
      <c r="F138" s="8">
        <f>A138*B138*C138*(1-D138)*(1-Входы!$C$73)*E138*12</f>
        <v>18547.200000000015</v>
      </c>
      <c r="G138" s="8">
        <f>(Входы!$C$67-Входы!$C$68)*Входы!$C$8/Входы!$C$9*E138*12</f>
        <v>84117.002250043268</v>
      </c>
      <c r="H138" s="8">
        <f>Входы!$C$5*Входы!$C$71*B138*C138*(1-D138)*E138*12</f>
        <v>3600.0000000000027</v>
      </c>
      <c r="I138" s="8">
        <f t="shared" si="4"/>
        <v>106264.20225004328</v>
      </c>
      <c r="J138" s="8">
        <f>I138-Входы!$C$75*12-Входы!$C$77-Входы!$C$78-Входы!$C$79*Входы!$C$8/Входы!$C$9</f>
        <v>-304966.68680551549</v>
      </c>
      <c r="K138" s="24" t="str">
        <f t="shared" si="5"/>
        <v>Да</v>
      </c>
    </row>
    <row r="139" spans="1:11" x14ac:dyDescent="0.25">
      <c r="A139" s="2">
        <v>28000</v>
      </c>
      <c r="B139" s="25">
        <v>1</v>
      </c>
      <c r="C139" s="25">
        <v>1</v>
      </c>
      <c r="D139" s="25">
        <v>0.98</v>
      </c>
      <c r="E139" s="19">
        <v>4</v>
      </c>
      <c r="F139" s="8">
        <f>A139*B139*C139*(1-D139)*(1-Входы!$C$73)*E139*12</f>
        <v>24729.60000000002</v>
      </c>
      <c r="G139" s="8">
        <f>(Входы!$C$67-Входы!$C$68)*Входы!$C$8/Входы!$C$9*E139*12</f>
        <v>112156.00300005768</v>
      </c>
      <c r="H139" s="8">
        <f>Входы!$C$5*Входы!$C$71*B139*C139*(1-D139)*E139*12</f>
        <v>4800.0000000000036</v>
      </c>
      <c r="I139" s="8">
        <f t="shared" si="4"/>
        <v>141685.60300005769</v>
      </c>
      <c r="J139" s="8">
        <f>I139-Входы!$C$75*12-Входы!$C$77-Входы!$C$78-Входы!$C$79*Входы!$C$8/Входы!$C$9</f>
        <v>-269545.28605550108</v>
      </c>
      <c r="K139" s="24" t="str">
        <f t="shared" si="5"/>
        <v>Да</v>
      </c>
    </row>
    <row r="140" spans="1:11" x14ac:dyDescent="0.25">
      <c r="A140" s="2">
        <v>65000</v>
      </c>
      <c r="B140" s="25">
        <v>0.5</v>
      </c>
      <c r="C140" s="25">
        <v>0.3</v>
      </c>
      <c r="D140" s="25">
        <v>0</v>
      </c>
      <c r="E140" s="19">
        <v>0</v>
      </c>
      <c r="F140" s="8">
        <f>A140*B140*C140*(1-D140)*(1-Входы!$C$73)*E140*12</f>
        <v>0</v>
      </c>
      <c r="G140" s="8">
        <f>(Входы!$C$67-Входы!$C$68)*Входы!$C$8/Входы!$C$9*E140*12</f>
        <v>0</v>
      </c>
      <c r="H140" s="8">
        <f>Входы!$C$5*Входы!$C$71*B140*C140*(1-D140)*E140*12</f>
        <v>0</v>
      </c>
      <c r="I140" s="8">
        <f t="shared" si="4"/>
        <v>0</v>
      </c>
      <c r="J140" s="8">
        <f>I140-Входы!$C$75*12-Входы!$C$77-Входы!$C$78-Входы!$C$79*Входы!$C$8/Входы!$C$9</f>
        <v>-411230.88905555877</v>
      </c>
      <c r="K140" s="24" t="str">
        <f t="shared" si="5"/>
        <v>Да</v>
      </c>
    </row>
    <row r="141" spans="1:11" x14ac:dyDescent="0.25">
      <c r="A141" s="2">
        <v>65000</v>
      </c>
      <c r="B141" s="25">
        <v>0.5</v>
      </c>
      <c r="C141" s="25">
        <v>0.3</v>
      </c>
      <c r="D141" s="25">
        <v>0</v>
      </c>
      <c r="E141" s="19">
        <v>1</v>
      </c>
      <c r="F141" s="8">
        <f>A141*B141*C141*(1-D141)*(1-Входы!$C$73)*E141*12</f>
        <v>107640</v>
      </c>
      <c r="G141" s="8">
        <f>(Входы!$C$67-Входы!$C$68)*Входы!$C$8/Входы!$C$9*E141*12</f>
        <v>28039.00075001442</v>
      </c>
      <c r="H141" s="8">
        <f>Входы!$C$5*Входы!$C$71*B141*C141*(1-D141)*E141*12</f>
        <v>9000</v>
      </c>
      <c r="I141" s="8">
        <f t="shared" si="4"/>
        <v>144679.00075001441</v>
      </c>
      <c r="J141" s="8">
        <f>I141-Входы!$C$75*12-Входы!$C$77-Входы!$C$78-Входы!$C$79*Входы!$C$8/Входы!$C$9</f>
        <v>-266551.88830554433</v>
      </c>
      <c r="K141" s="24" t="str">
        <f t="shared" si="5"/>
        <v>Да</v>
      </c>
    </row>
    <row r="142" spans="1:11" x14ac:dyDescent="0.25">
      <c r="A142" s="2">
        <v>65000</v>
      </c>
      <c r="B142" s="25">
        <v>0.5</v>
      </c>
      <c r="C142" s="25">
        <v>0.3</v>
      </c>
      <c r="D142" s="25">
        <v>0</v>
      </c>
      <c r="E142" s="19">
        <v>2</v>
      </c>
      <c r="F142" s="8">
        <f>A142*B142*C142*(1-D142)*(1-Входы!$C$73)*E142*12</f>
        <v>215280</v>
      </c>
      <c r="G142" s="8">
        <f>(Входы!$C$67-Входы!$C$68)*Входы!$C$8/Входы!$C$9*E142*12</f>
        <v>56078.00150002884</v>
      </c>
      <c r="H142" s="8">
        <f>Входы!$C$5*Входы!$C$71*B142*C142*(1-D142)*E142*12</f>
        <v>18000</v>
      </c>
      <c r="I142" s="8">
        <f t="shared" si="4"/>
        <v>289358.00150002883</v>
      </c>
      <c r="J142" s="8">
        <f>I142-Входы!$C$75*12-Входы!$C$77-Входы!$C$78-Входы!$C$79*Входы!$C$8/Входы!$C$9</f>
        <v>-121872.88755552993</v>
      </c>
      <c r="K142" s="24" t="str">
        <f t="shared" si="5"/>
        <v>Да</v>
      </c>
    </row>
    <row r="143" spans="1:11" x14ac:dyDescent="0.25">
      <c r="A143" s="2">
        <v>65000</v>
      </c>
      <c r="B143" s="25">
        <v>0.5</v>
      </c>
      <c r="C143" s="25">
        <v>0.3</v>
      </c>
      <c r="D143" s="25">
        <v>0</v>
      </c>
      <c r="E143" s="19">
        <v>3</v>
      </c>
      <c r="F143" s="8">
        <f>A143*B143*C143*(1-D143)*(1-Входы!$C$73)*E143*12</f>
        <v>322920</v>
      </c>
      <c r="G143" s="8">
        <f>(Входы!$C$67-Входы!$C$68)*Входы!$C$8/Входы!$C$9*E143*12</f>
        <v>84117.002250043268</v>
      </c>
      <c r="H143" s="8">
        <f>Входы!$C$5*Входы!$C$71*B143*C143*(1-D143)*E143*12</f>
        <v>27000</v>
      </c>
      <c r="I143" s="8">
        <f t="shared" si="4"/>
        <v>434037.00225004327</v>
      </c>
      <c r="J143" s="8">
        <f>I143-Входы!$C$75*12-Входы!$C$77-Входы!$C$78-Входы!$C$79*Входы!$C$8/Входы!$C$9</f>
        <v>22806.113194484507</v>
      </c>
      <c r="K143" s="24" t="str">
        <f t="shared" si="5"/>
        <v>Нет</v>
      </c>
    </row>
    <row r="144" spans="1:11" x14ac:dyDescent="0.25">
      <c r="A144" s="2">
        <v>65000</v>
      </c>
      <c r="B144" s="25">
        <v>0.5</v>
      </c>
      <c r="C144" s="25">
        <v>0.3</v>
      </c>
      <c r="D144" s="25">
        <v>0</v>
      </c>
      <c r="E144" s="19">
        <v>4</v>
      </c>
      <c r="F144" s="8">
        <f>A144*B144*C144*(1-D144)*(1-Входы!$C$73)*E144*12</f>
        <v>430560</v>
      </c>
      <c r="G144" s="8">
        <f>(Входы!$C$67-Входы!$C$68)*Входы!$C$8/Входы!$C$9*E144*12</f>
        <v>112156.00300005768</v>
      </c>
      <c r="H144" s="8">
        <f>Входы!$C$5*Входы!$C$71*B144*C144*(1-D144)*E144*12</f>
        <v>36000</v>
      </c>
      <c r="I144" s="8">
        <f t="shared" si="4"/>
        <v>578716.00300005765</v>
      </c>
      <c r="J144" s="8">
        <f>I144-Входы!$C$75*12-Входы!$C$77-Входы!$C$78-Входы!$C$79*Входы!$C$8/Входы!$C$9</f>
        <v>167485.11394449888</v>
      </c>
      <c r="K144" s="24" t="str">
        <f t="shared" si="5"/>
        <v>Нет</v>
      </c>
    </row>
    <row r="145" spans="1:11" x14ac:dyDescent="0.25">
      <c r="A145" s="2">
        <v>65000</v>
      </c>
      <c r="B145" s="25">
        <v>0.5</v>
      </c>
      <c r="C145" s="25">
        <v>0.3</v>
      </c>
      <c r="D145" s="25">
        <v>0.8</v>
      </c>
      <c r="E145" s="19">
        <v>0</v>
      </c>
      <c r="F145" s="8">
        <f>A145*B145*C145*(1-D145)*(1-Входы!$C$73)*E145*12</f>
        <v>0</v>
      </c>
      <c r="G145" s="8">
        <f>(Входы!$C$67-Входы!$C$68)*Входы!$C$8/Входы!$C$9*E145*12</f>
        <v>0</v>
      </c>
      <c r="H145" s="8">
        <f>Входы!$C$5*Входы!$C$71*B145*C145*(1-D145)*E145*12</f>
        <v>0</v>
      </c>
      <c r="I145" s="8">
        <f t="shared" si="4"/>
        <v>0</v>
      </c>
      <c r="J145" s="8">
        <f>I145-Входы!$C$75*12-Входы!$C$77-Входы!$C$78-Входы!$C$79*Входы!$C$8/Входы!$C$9</f>
        <v>-411230.88905555877</v>
      </c>
      <c r="K145" s="24" t="str">
        <f t="shared" si="5"/>
        <v>Да</v>
      </c>
    </row>
    <row r="146" spans="1:11" x14ac:dyDescent="0.25">
      <c r="A146" s="2">
        <v>65000</v>
      </c>
      <c r="B146" s="25">
        <v>0.5</v>
      </c>
      <c r="C146" s="25">
        <v>0.3</v>
      </c>
      <c r="D146" s="25">
        <v>0.8</v>
      </c>
      <c r="E146" s="19">
        <v>1</v>
      </c>
      <c r="F146" s="8">
        <f>A146*B146*C146*(1-D146)*(1-Входы!$C$73)*E146*12</f>
        <v>21527.999999999996</v>
      </c>
      <c r="G146" s="8">
        <f>(Входы!$C$67-Входы!$C$68)*Входы!$C$8/Входы!$C$9*E146*12</f>
        <v>28039.00075001442</v>
      </c>
      <c r="H146" s="8">
        <f>Входы!$C$5*Входы!$C$71*B146*C146*(1-D146)*E146*12</f>
        <v>1799.9999999999995</v>
      </c>
      <c r="I146" s="8">
        <f t="shared" si="4"/>
        <v>51367.000750014413</v>
      </c>
      <c r="J146" s="8">
        <f>I146-Входы!$C$75*12-Входы!$C$77-Входы!$C$78-Входы!$C$79*Входы!$C$8/Входы!$C$9</f>
        <v>-359863.88830554433</v>
      </c>
      <c r="K146" s="24" t="str">
        <f t="shared" si="5"/>
        <v>Да</v>
      </c>
    </row>
    <row r="147" spans="1:11" x14ac:dyDescent="0.25">
      <c r="A147" s="2">
        <v>65000</v>
      </c>
      <c r="B147" s="25">
        <v>0.5</v>
      </c>
      <c r="C147" s="25">
        <v>0.3</v>
      </c>
      <c r="D147" s="25">
        <v>0.8</v>
      </c>
      <c r="E147" s="19">
        <v>2</v>
      </c>
      <c r="F147" s="8">
        <f>A147*B147*C147*(1-D147)*(1-Входы!$C$73)*E147*12</f>
        <v>43055.999999999993</v>
      </c>
      <c r="G147" s="8">
        <f>(Входы!$C$67-Входы!$C$68)*Входы!$C$8/Входы!$C$9*E147*12</f>
        <v>56078.00150002884</v>
      </c>
      <c r="H147" s="8">
        <f>Входы!$C$5*Входы!$C$71*B147*C147*(1-D147)*E147*12</f>
        <v>3599.9999999999991</v>
      </c>
      <c r="I147" s="8">
        <f t="shared" si="4"/>
        <v>102734.00150002883</v>
      </c>
      <c r="J147" s="8">
        <f>I147-Входы!$C$75*12-Входы!$C$77-Входы!$C$78-Входы!$C$79*Входы!$C$8/Входы!$C$9</f>
        <v>-308496.88755552995</v>
      </c>
      <c r="K147" s="24" t="str">
        <f t="shared" si="5"/>
        <v>Да</v>
      </c>
    </row>
    <row r="148" spans="1:11" x14ac:dyDescent="0.25">
      <c r="A148" s="2">
        <v>65000</v>
      </c>
      <c r="B148" s="25">
        <v>0.5</v>
      </c>
      <c r="C148" s="25">
        <v>0.3</v>
      </c>
      <c r="D148" s="25">
        <v>0.8</v>
      </c>
      <c r="E148" s="19">
        <v>3</v>
      </c>
      <c r="F148" s="8">
        <f>A148*B148*C148*(1-D148)*(1-Входы!$C$73)*E148*12</f>
        <v>64583.999999999985</v>
      </c>
      <c r="G148" s="8">
        <f>(Входы!$C$67-Входы!$C$68)*Входы!$C$8/Входы!$C$9*E148*12</f>
        <v>84117.002250043268</v>
      </c>
      <c r="H148" s="8">
        <f>Входы!$C$5*Входы!$C$71*B148*C148*(1-D148)*E148*12</f>
        <v>5399.9999999999982</v>
      </c>
      <c r="I148" s="8">
        <f t="shared" si="4"/>
        <v>154101.00225004327</v>
      </c>
      <c r="J148" s="8">
        <f>I148-Входы!$C$75*12-Входы!$C$77-Входы!$C$78-Входы!$C$79*Входы!$C$8/Входы!$C$9</f>
        <v>-257129.8868055155</v>
      </c>
      <c r="K148" s="24" t="str">
        <f t="shared" si="5"/>
        <v>Да</v>
      </c>
    </row>
    <row r="149" spans="1:11" x14ac:dyDescent="0.25">
      <c r="A149" s="2">
        <v>65000</v>
      </c>
      <c r="B149" s="25">
        <v>0.5</v>
      </c>
      <c r="C149" s="25">
        <v>0.3</v>
      </c>
      <c r="D149" s="25">
        <v>0.8</v>
      </c>
      <c r="E149" s="19">
        <v>4</v>
      </c>
      <c r="F149" s="8">
        <f>A149*B149*C149*(1-D149)*(1-Входы!$C$73)*E149*12</f>
        <v>86111.999999999985</v>
      </c>
      <c r="G149" s="8">
        <f>(Входы!$C$67-Входы!$C$68)*Входы!$C$8/Входы!$C$9*E149*12</f>
        <v>112156.00300005768</v>
      </c>
      <c r="H149" s="8">
        <f>Входы!$C$5*Входы!$C$71*B149*C149*(1-D149)*E149*12</f>
        <v>7199.9999999999982</v>
      </c>
      <c r="I149" s="8">
        <f t="shared" si="4"/>
        <v>205468.00300005765</v>
      </c>
      <c r="J149" s="8">
        <f>I149-Входы!$C$75*12-Входы!$C$77-Входы!$C$78-Входы!$C$79*Входы!$C$8/Входы!$C$9</f>
        <v>-205762.88605550112</v>
      </c>
      <c r="K149" s="24" t="str">
        <f t="shared" si="5"/>
        <v>Да</v>
      </c>
    </row>
    <row r="150" spans="1:11" x14ac:dyDescent="0.25">
      <c r="A150" s="2">
        <v>65000</v>
      </c>
      <c r="B150" s="25">
        <v>0.5</v>
      </c>
      <c r="C150" s="25">
        <v>0.3</v>
      </c>
      <c r="D150" s="25">
        <v>0.98</v>
      </c>
      <c r="E150" s="19">
        <v>0</v>
      </c>
      <c r="F150" s="8">
        <f>A150*B150*C150*(1-D150)*(1-Входы!$C$73)*E150*12</f>
        <v>0</v>
      </c>
      <c r="G150" s="8">
        <f>(Входы!$C$67-Входы!$C$68)*Входы!$C$8/Входы!$C$9*E150*12</f>
        <v>0</v>
      </c>
      <c r="H150" s="8">
        <f>Входы!$C$5*Входы!$C$71*B150*C150*(1-D150)*E150*12</f>
        <v>0</v>
      </c>
      <c r="I150" s="8">
        <f t="shared" si="4"/>
        <v>0</v>
      </c>
      <c r="J150" s="8">
        <f>I150-Входы!$C$75*12-Входы!$C$77-Входы!$C$78-Входы!$C$79*Входы!$C$8/Входы!$C$9</f>
        <v>-411230.88905555877</v>
      </c>
      <c r="K150" s="24" t="str">
        <f t="shared" si="5"/>
        <v>Да</v>
      </c>
    </row>
    <row r="151" spans="1:11" x14ac:dyDescent="0.25">
      <c r="A151" s="2">
        <v>65000</v>
      </c>
      <c r="B151" s="25">
        <v>0.5</v>
      </c>
      <c r="C151" s="25">
        <v>0.3</v>
      </c>
      <c r="D151" s="25">
        <v>0.98</v>
      </c>
      <c r="E151" s="19">
        <v>1</v>
      </c>
      <c r="F151" s="8">
        <f>A151*B151*C151*(1-D151)*(1-Входы!$C$73)*E151*12</f>
        <v>2152.800000000002</v>
      </c>
      <c r="G151" s="8">
        <f>(Входы!$C$67-Входы!$C$68)*Входы!$C$8/Входы!$C$9*E151*12</f>
        <v>28039.00075001442</v>
      </c>
      <c r="H151" s="8">
        <f>Входы!$C$5*Входы!$C$71*B151*C151*(1-D151)*E151*12</f>
        <v>180.00000000000017</v>
      </c>
      <c r="I151" s="8">
        <f t="shared" si="4"/>
        <v>30371.800750014423</v>
      </c>
      <c r="J151" s="8">
        <f>I151-Входы!$C$75*12-Входы!$C$77-Входы!$C$78-Входы!$C$79*Входы!$C$8/Входы!$C$9</f>
        <v>-380859.08830554434</v>
      </c>
      <c r="K151" s="24" t="str">
        <f t="shared" si="5"/>
        <v>Да</v>
      </c>
    </row>
    <row r="152" spans="1:11" x14ac:dyDescent="0.25">
      <c r="A152" s="2">
        <v>65000</v>
      </c>
      <c r="B152" s="25">
        <v>0.5</v>
      </c>
      <c r="C152" s="25">
        <v>0.3</v>
      </c>
      <c r="D152" s="25">
        <v>0.98</v>
      </c>
      <c r="E152" s="19">
        <v>2</v>
      </c>
      <c r="F152" s="8">
        <f>A152*B152*C152*(1-D152)*(1-Входы!$C$73)*E152*12</f>
        <v>4305.600000000004</v>
      </c>
      <c r="G152" s="8">
        <f>(Входы!$C$67-Входы!$C$68)*Входы!$C$8/Входы!$C$9*E152*12</f>
        <v>56078.00150002884</v>
      </c>
      <c r="H152" s="8">
        <f>Входы!$C$5*Входы!$C$71*B152*C152*(1-D152)*E152*12</f>
        <v>360.00000000000034</v>
      </c>
      <c r="I152" s="8">
        <f t="shared" si="4"/>
        <v>60743.601500028846</v>
      </c>
      <c r="J152" s="8">
        <f>I152-Входы!$C$75*12-Входы!$C$77-Входы!$C$78-Входы!$C$79*Входы!$C$8/Входы!$C$9</f>
        <v>-350487.28755552991</v>
      </c>
      <c r="K152" s="24" t="str">
        <f t="shared" si="5"/>
        <v>Да</v>
      </c>
    </row>
    <row r="153" spans="1:11" x14ac:dyDescent="0.25">
      <c r="A153" s="2">
        <v>65000</v>
      </c>
      <c r="B153" s="25">
        <v>0.5</v>
      </c>
      <c r="C153" s="25">
        <v>0.3</v>
      </c>
      <c r="D153" s="25">
        <v>0.98</v>
      </c>
      <c r="E153" s="19">
        <v>3</v>
      </c>
      <c r="F153" s="8">
        <f>A153*B153*C153*(1-D153)*(1-Входы!$C$73)*E153*12</f>
        <v>6458.400000000006</v>
      </c>
      <c r="G153" s="8">
        <f>(Входы!$C$67-Входы!$C$68)*Входы!$C$8/Входы!$C$9*E153*12</f>
        <v>84117.002250043268</v>
      </c>
      <c r="H153" s="8">
        <f>Входы!$C$5*Входы!$C$71*B153*C153*(1-D153)*E153*12</f>
        <v>540.00000000000045</v>
      </c>
      <c r="I153" s="8">
        <f t="shared" si="4"/>
        <v>91115.402250043277</v>
      </c>
      <c r="J153" s="8">
        <f>I153-Входы!$C$75*12-Входы!$C$77-Входы!$C$78-Входы!$C$79*Входы!$C$8/Входы!$C$9</f>
        <v>-320115.48680551548</v>
      </c>
      <c r="K153" s="24" t="str">
        <f t="shared" si="5"/>
        <v>Да</v>
      </c>
    </row>
    <row r="154" spans="1:11" x14ac:dyDescent="0.25">
      <c r="A154" s="2">
        <v>65000</v>
      </c>
      <c r="B154" s="25">
        <v>0.5</v>
      </c>
      <c r="C154" s="25">
        <v>0.3</v>
      </c>
      <c r="D154" s="25">
        <v>0.98</v>
      </c>
      <c r="E154" s="19">
        <v>4</v>
      </c>
      <c r="F154" s="8">
        <f>A154*B154*C154*(1-D154)*(1-Входы!$C$73)*E154*12</f>
        <v>8611.200000000008</v>
      </c>
      <c r="G154" s="8">
        <f>(Входы!$C$67-Входы!$C$68)*Входы!$C$8/Входы!$C$9*E154*12</f>
        <v>112156.00300005768</v>
      </c>
      <c r="H154" s="8">
        <f>Входы!$C$5*Входы!$C$71*B154*C154*(1-D154)*E154*12</f>
        <v>720.00000000000068</v>
      </c>
      <c r="I154" s="8">
        <f t="shared" si="4"/>
        <v>121487.20300005769</v>
      </c>
      <c r="J154" s="8">
        <f>I154-Входы!$C$75*12-Входы!$C$77-Входы!$C$78-Входы!$C$79*Входы!$C$8/Входы!$C$9</f>
        <v>-289743.68605550105</v>
      </c>
      <c r="K154" s="24" t="str">
        <f t="shared" si="5"/>
        <v>Да</v>
      </c>
    </row>
    <row r="155" spans="1:11" x14ac:dyDescent="0.25">
      <c r="A155" s="2">
        <v>65000</v>
      </c>
      <c r="B155" s="25">
        <v>0.5</v>
      </c>
      <c r="C155" s="25">
        <v>0.6</v>
      </c>
      <c r="D155" s="25">
        <v>0</v>
      </c>
      <c r="E155" s="19">
        <v>0</v>
      </c>
      <c r="F155" s="8">
        <f>A155*B155*C155*(1-D155)*(1-Входы!$C$73)*E155*12</f>
        <v>0</v>
      </c>
      <c r="G155" s="8">
        <f>(Входы!$C$67-Входы!$C$68)*Входы!$C$8/Входы!$C$9*E155*12</f>
        <v>0</v>
      </c>
      <c r="H155" s="8">
        <f>Входы!$C$5*Входы!$C$71*B155*C155*(1-D155)*E155*12</f>
        <v>0</v>
      </c>
      <c r="I155" s="8">
        <f t="shared" si="4"/>
        <v>0</v>
      </c>
      <c r="J155" s="8">
        <f>I155-Входы!$C$75*12-Входы!$C$77-Входы!$C$78-Входы!$C$79*Входы!$C$8/Входы!$C$9</f>
        <v>-411230.88905555877</v>
      </c>
      <c r="K155" s="24" t="str">
        <f t="shared" si="5"/>
        <v>Да</v>
      </c>
    </row>
    <row r="156" spans="1:11" x14ac:dyDescent="0.25">
      <c r="A156" s="2">
        <v>65000</v>
      </c>
      <c r="B156" s="25">
        <v>0.5</v>
      </c>
      <c r="C156" s="25">
        <v>0.6</v>
      </c>
      <c r="D156" s="25">
        <v>0</v>
      </c>
      <c r="E156" s="19">
        <v>1</v>
      </c>
      <c r="F156" s="8">
        <f>A156*B156*C156*(1-D156)*(1-Входы!$C$73)*E156*12</f>
        <v>215280</v>
      </c>
      <c r="G156" s="8">
        <f>(Входы!$C$67-Входы!$C$68)*Входы!$C$8/Входы!$C$9*E156*12</f>
        <v>28039.00075001442</v>
      </c>
      <c r="H156" s="8">
        <f>Входы!$C$5*Входы!$C$71*B156*C156*(1-D156)*E156*12</f>
        <v>18000</v>
      </c>
      <c r="I156" s="8">
        <f t="shared" si="4"/>
        <v>261319.00075001441</v>
      </c>
      <c r="J156" s="8">
        <f>I156-Входы!$C$75*12-Входы!$C$77-Входы!$C$78-Входы!$C$79*Входы!$C$8/Входы!$C$9</f>
        <v>-149911.88830554436</v>
      </c>
      <c r="K156" s="24" t="str">
        <f t="shared" si="5"/>
        <v>Да</v>
      </c>
    </row>
    <row r="157" spans="1:11" x14ac:dyDescent="0.25">
      <c r="A157" s="2">
        <v>65000</v>
      </c>
      <c r="B157" s="25">
        <v>0.5</v>
      </c>
      <c r="C157" s="25">
        <v>0.6</v>
      </c>
      <c r="D157" s="25">
        <v>0</v>
      </c>
      <c r="E157" s="19">
        <v>2</v>
      </c>
      <c r="F157" s="8">
        <f>A157*B157*C157*(1-D157)*(1-Входы!$C$73)*E157*12</f>
        <v>430560</v>
      </c>
      <c r="G157" s="8">
        <f>(Входы!$C$67-Входы!$C$68)*Входы!$C$8/Входы!$C$9*E157*12</f>
        <v>56078.00150002884</v>
      </c>
      <c r="H157" s="8">
        <f>Входы!$C$5*Входы!$C$71*B157*C157*(1-D157)*E157*12</f>
        <v>36000</v>
      </c>
      <c r="I157" s="8">
        <f t="shared" si="4"/>
        <v>522638.00150002883</v>
      </c>
      <c r="J157" s="8">
        <f>I157-Входы!$C$75*12-Входы!$C$77-Входы!$C$78-Входы!$C$79*Входы!$C$8/Входы!$C$9</f>
        <v>111407.11244447007</v>
      </c>
      <c r="K157" s="24" t="str">
        <f t="shared" si="5"/>
        <v>Нет</v>
      </c>
    </row>
    <row r="158" spans="1:11" x14ac:dyDescent="0.25">
      <c r="A158" s="2">
        <v>65000</v>
      </c>
      <c r="B158" s="25">
        <v>0.5</v>
      </c>
      <c r="C158" s="25">
        <v>0.6</v>
      </c>
      <c r="D158" s="25">
        <v>0</v>
      </c>
      <c r="E158" s="19">
        <v>3</v>
      </c>
      <c r="F158" s="8">
        <f>A158*B158*C158*(1-D158)*(1-Входы!$C$73)*E158*12</f>
        <v>645840</v>
      </c>
      <c r="G158" s="8">
        <f>(Входы!$C$67-Входы!$C$68)*Входы!$C$8/Входы!$C$9*E158*12</f>
        <v>84117.002250043268</v>
      </c>
      <c r="H158" s="8">
        <f>Входы!$C$5*Входы!$C$71*B158*C158*(1-D158)*E158*12</f>
        <v>54000</v>
      </c>
      <c r="I158" s="8">
        <f t="shared" si="4"/>
        <v>783957.00225004321</v>
      </c>
      <c r="J158" s="8">
        <f>I158-Входы!$C$75*12-Входы!$C$77-Входы!$C$78-Входы!$C$79*Входы!$C$8/Входы!$C$9</f>
        <v>372726.11319448444</v>
      </c>
      <c r="K158" s="24" t="str">
        <f t="shared" si="5"/>
        <v>Нет</v>
      </c>
    </row>
    <row r="159" spans="1:11" x14ac:dyDescent="0.25">
      <c r="A159" s="2">
        <v>65000</v>
      </c>
      <c r="B159" s="25">
        <v>0.5</v>
      </c>
      <c r="C159" s="25">
        <v>0.6</v>
      </c>
      <c r="D159" s="25">
        <v>0</v>
      </c>
      <c r="E159" s="19">
        <v>4</v>
      </c>
      <c r="F159" s="8">
        <f>A159*B159*C159*(1-D159)*(1-Входы!$C$73)*E159*12</f>
        <v>861120</v>
      </c>
      <c r="G159" s="8">
        <f>(Входы!$C$67-Входы!$C$68)*Входы!$C$8/Входы!$C$9*E159*12</f>
        <v>112156.00300005768</v>
      </c>
      <c r="H159" s="8">
        <f>Входы!$C$5*Входы!$C$71*B159*C159*(1-D159)*E159*12</f>
        <v>72000</v>
      </c>
      <c r="I159" s="8">
        <f t="shared" si="4"/>
        <v>1045276.0030000577</v>
      </c>
      <c r="J159" s="8">
        <f>I159-Входы!$C$75*12-Входы!$C$77-Входы!$C$78-Входы!$C$79*Входы!$C$8/Входы!$C$9</f>
        <v>634045.11394449894</v>
      </c>
      <c r="K159" s="24" t="str">
        <f t="shared" si="5"/>
        <v>Нет</v>
      </c>
    </row>
    <row r="160" spans="1:11" x14ac:dyDescent="0.25">
      <c r="A160" s="2">
        <v>65000</v>
      </c>
      <c r="B160" s="25">
        <v>0.5</v>
      </c>
      <c r="C160" s="25">
        <v>0.6</v>
      </c>
      <c r="D160" s="25">
        <v>0.8</v>
      </c>
      <c r="E160" s="19">
        <v>0</v>
      </c>
      <c r="F160" s="8">
        <f>A160*B160*C160*(1-D160)*(1-Входы!$C$73)*E160*12</f>
        <v>0</v>
      </c>
      <c r="G160" s="8">
        <f>(Входы!$C$67-Входы!$C$68)*Входы!$C$8/Входы!$C$9*E160*12</f>
        <v>0</v>
      </c>
      <c r="H160" s="8">
        <f>Входы!$C$5*Входы!$C$71*B160*C160*(1-D160)*E160*12</f>
        <v>0</v>
      </c>
      <c r="I160" s="8">
        <f t="shared" si="4"/>
        <v>0</v>
      </c>
      <c r="J160" s="8">
        <f>I160-Входы!$C$75*12-Входы!$C$77-Входы!$C$78-Входы!$C$79*Входы!$C$8/Входы!$C$9</f>
        <v>-411230.88905555877</v>
      </c>
      <c r="K160" s="24" t="str">
        <f t="shared" si="5"/>
        <v>Да</v>
      </c>
    </row>
    <row r="161" spans="1:11" x14ac:dyDescent="0.25">
      <c r="A161" s="2">
        <v>65000</v>
      </c>
      <c r="B161" s="25">
        <v>0.5</v>
      </c>
      <c r="C161" s="25">
        <v>0.6</v>
      </c>
      <c r="D161" s="25">
        <v>0.8</v>
      </c>
      <c r="E161" s="19">
        <v>1</v>
      </c>
      <c r="F161" s="8">
        <f>A161*B161*C161*(1-D161)*(1-Входы!$C$73)*E161*12</f>
        <v>43055.999999999993</v>
      </c>
      <c r="G161" s="8">
        <f>(Входы!$C$67-Входы!$C$68)*Входы!$C$8/Входы!$C$9*E161*12</f>
        <v>28039.00075001442</v>
      </c>
      <c r="H161" s="8">
        <f>Входы!$C$5*Входы!$C$71*B161*C161*(1-D161)*E161*12</f>
        <v>3599.9999999999991</v>
      </c>
      <c r="I161" s="8">
        <f t="shared" si="4"/>
        <v>74695.000750014413</v>
      </c>
      <c r="J161" s="8">
        <f>I161-Входы!$C$75*12-Входы!$C$77-Входы!$C$78-Входы!$C$79*Входы!$C$8/Входы!$C$9</f>
        <v>-336535.88830554433</v>
      </c>
      <c r="K161" s="24" t="str">
        <f t="shared" si="5"/>
        <v>Да</v>
      </c>
    </row>
    <row r="162" spans="1:11" x14ac:dyDescent="0.25">
      <c r="A162" s="2">
        <v>65000</v>
      </c>
      <c r="B162" s="25">
        <v>0.5</v>
      </c>
      <c r="C162" s="25">
        <v>0.6</v>
      </c>
      <c r="D162" s="25">
        <v>0.8</v>
      </c>
      <c r="E162" s="19">
        <v>2</v>
      </c>
      <c r="F162" s="8">
        <f>A162*B162*C162*(1-D162)*(1-Входы!$C$73)*E162*12</f>
        <v>86111.999999999985</v>
      </c>
      <c r="G162" s="8">
        <f>(Входы!$C$67-Входы!$C$68)*Входы!$C$8/Входы!$C$9*E162*12</f>
        <v>56078.00150002884</v>
      </c>
      <c r="H162" s="8">
        <f>Входы!$C$5*Входы!$C$71*B162*C162*(1-D162)*E162*12</f>
        <v>7199.9999999999982</v>
      </c>
      <c r="I162" s="8">
        <f t="shared" si="4"/>
        <v>149390.00150002883</v>
      </c>
      <c r="J162" s="8">
        <f>I162-Входы!$C$75*12-Входы!$C$77-Входы!$C$78-Входы!$C$79*Входы!$C$8/Входы!$C$9</f>
        <v>-261840.88755552995</v>
      </c>
      <c r="K162" s="24" t="str">
        <f t="shared" si="5"/>
        <v>Да</v>
      </c>
    </row>
    <row r="163" spans="1:11" x14ac:dyDescent="0.25">
      <c r="A163" s="2">
        <v>65000</v>
      </c>
      <c r="B163" s="25">
        <v>0.5</v>
      </c>
      <c r="C163" s="25">
        <v>0.6</v>
      </c>
      <c r="D163" s="25">
        <v>0.8</v>
      </c>
      <c r="E163" s="19">
        <v>3</v>
      </c>
      <c r="F163" s="8">
        <f>A163*B163*C163*(1-D163)*(1-Входы!$C$73)*E163*12</f>
        <v>129167.99999999997</v>
      </c>
      <c r="G163" s="8">
        <f>(Входы!$C$67-Входы!$C$68)*Входы!$C$8/Входы!$C$9*E163*12</f>
        <v>84117.002250043268</v>
      </c>
      <c r="H163" s="8">
        <f>Входы!$C$5*Входы!$C$71*B163*C163*(1-D163)*E163*12</f>
        <v>10799.999999999996</v>
      </c>
      <c r="I163" s="8">
        <f t="shared" si="4"/>
        <v>224085.00225004324</v>
      </c>
      <c r="J163" s="8">
        <f>I163-Входы!$C$75*12-Входы!$C$77-Входы!$C$78-Входы!$C$79*Входы!$C$8/Входы!$C$9</f>
        <v>-187145.88680551553</v>
      </c>
      <c r="K163" s="24" t="str">
        <f t="shared" si="5"/>
        <v>Да</v>
      </c>
    </row>
    <row r="164" spans="1:11" x14ac:dyDescent="0.25">
      <c r="A164" s="2">
        <v>65000</v>
      </c>
      <c r="B164" s="25">
        <v>0.5</v>
      </c>
      <c r="C164" s="25">
        <v>0.6</v>
      </c>
      <c r="D164" s="25">
        <v>0.8</v>
      </c>
      <c r="E164" s="19">
        <v>4</v>
      </c>
      <c r="F164" s="8">
        <f>A164*B164*C164*(1-D164)*(1-Входы!$C$73)*E164*12</f>
        <v>172223.99999999997</v>
      </c>
      <c r="G164" s="8">
        <f>(Входы!$C$67-Входы!$C$68)*Входы!$C$8/Входы!$C$9*E164*12</f>
        <v>112156.00300005768</v>
      </c>
      <c r="H164" s="8">
        <f>Входы!$C$5*Входы!$C$71*B164*C164*(1-D164)*E164*12</f>
        <v>14399.999999999996</v>
      </c>
      <c r="I164" s="8">
        <f t="shared" si="4"/>
        <v>298780.00300005765</v>
      </c>
      <c r="J164" s="8">
        <f>I164-Входы!$C$75*12-Входы!$C$77-Входы!$C$78-Входы!$C$79*Входы!$C$8/Входы!$C$9</f>
        <v>-112450.88605550111</v>
      </c>
      <c r="K164" s="24" t="str">
        <f t="shared" si="5"/>
        <v>Да</v>
      </c>
    </row>
    <row r="165" spans="1:11" x14ac:dyDescent="0.25">
      <c r="A165" s="2">
        <v>65000</v>
      </c>
      <c r="B165" s="25">
        <v>0.5</v>
      </c>
      <c r="C165" s="25">
        <v>0.6</v>
      </c>
      <c r="D165" s="25">
        <v>0.98</v>
      </c>
      <c r="E165" s="19">
        <v>0</v>
      </c>
      <c r="F165" s="8">
        <f>A165*B165*C165*(1-D165)*(1-Входы!$C$73)*E165*12</f>
        <v>0</v>
      </c>
      <c r="G165" s="8">
        <f>(Входы!$C$67-Входы!$C$68)*Входы!$C$8/Входы!$C$9*E165*12</f>
        <v>0</v>
      </c>
      <c r="H165" s="8">
        <f>Входы!$C$5*Входы!$C$71*B165*C165*(1-D165)*E165*12</f>
        <v>0</v>
      </c>
      <c r="I165" s="8">
        <f t="shared" si="4"/>
        <v>0</v>
      </c>
      <c r="J165" s="8">
        <f>I165-Входы!$C$75*12-Входы!$C$77-Входы!$C$78-Входы!$C$79*Входы!$C$8/Входы!$C$9</f>
        <v>-411230.88905555877</v>
      </c>
      <c r="K165" s="24" t="str">
        <f t="shared" si="5"/>
        <v>Да</v>
      </c>
    </row>
    <row r="166" spans="1:11" x14ac:dyDescent="0.25">
      <c r="A166" s="2">
        <v>65000</v>
      </c>
      <c r="B166" s="25">
        <v>0.5</v>
      </c>
      <c r="C166" s="25">
        <v>0.6</v>
      </c>
      <c r="D166" s="25">
        <v>0.98</v>
      </c>
      <c r="E166" s="19">
        <v>1</v>
      </c>
      <c r="F166" s="8">
        <f>A166*B166*C166*(1-D166)*(1-Входы!$C$73)*E166*12</f>
        <v>4305.600000000004</v>
      </c>
      <c r="G166" s="8">
        <f>(Входы!$C$67-Входы!$C$68)*Входы!$C$8/Входы!$C$9*E166*12</f>
        <v>28039.00075001442</v>
      </c>
      <c r="H166" s="8">
        <f>Входы!$C$5*Входы!$C$71*B166*C166*(1-D166)*E166*12</f>
        <v>360.00000000000034</v>
      </c>
      <c r="I166" s="8">
        <f t="shared" si="4"/>
        <v>32704.600750014426</v>
      </c>
      <c r="J166" s="8">
        <f>I166-Входы!$C$75*12-Входы!$C$77-Входы!$C$78-Входы!$C$79*Входы!$C$8/Входы!$C$9</f>
        <v>-378526.28830554435</v>
      </c>
      <c r="K166" s="24" t="str">
        <f t="shared" si="5"/>
        <v>Да</v>
      </c>
    </row>
    <row r="167" spans="1:11" x14ac:dyDescent="0.25">
      <c r="A167" s="2">
        <v>65000</v>
      </c>
      <c r="B167" s="25">
        <v>0.5</v>
      </c>
      <c r="C167" s="25">
        <v>0.6</v>
      </c>
      <c r="D167" s="25">
        <v>0.98</v>
      </c>
      <c r="E167" s="19">
        <v>2</v>
      </c>
      <c r="F167" s="8">
        <f>A167*B167*C167*(1-D167)*(1-Входы!$C$73)*E167*12</f>
        <v>8611.200000000008</v>
      </c>
      <c r="G167" s="8">
        <f>(Входы!$C$67-Входы!$C$68)*Входы!$C$8/Входы!$C$9*E167*12</f>
        <v>56078.00150002884</v>
      </c>
      <c r="H167" s="8">
        <f>Входы!$C$5*Входы!$C$71*B167*C167*(1-D167)*E167*12</f>
        <v>720.00000000000068</v>
      </c>
      <c r="I167" s="8">
        <f t="shared" si="4"/>
        <v>65409.201500028852</v>
      </c>
      <c r="J167" s="8">
        <f>I167-Входы!$C$75*12-Входы!$C$77-Входы!$C$78-Входы!$C$79*Входы!$C$8/Входы!$C$9</f>
        <v>-345821.68755552993</v>
      </c>
      <c r="K167" s="24" t="str">
        <f t="shared" si="5"/>
        <v>Да</v>
      </c>
    </row>
    <row r="168" spans="1:11" x14ac:dyDescent="0.25">
      <c r="A168" s="2">
        <v>65000</v>
      </c>
      <c r="B168" s="25">
        <v>0.5</v>
      </c>
      <c r="C168" s="25">
        <v>0.6</v>
      </c>
      <c r="D168" s="25">
        <v>0.98</v>
      </c>
      <c r="E168" s="19">
        <v>3</v>
      </c>
      <c r="F168" s="8">
        <f>A168*B168*C168*(1-D168)*(1-Входы!$C$73)*E168*12</f>
        <v>12916.800000000012</v>
      </c>
      <c r="G168" s="8">
        <f>(Входы!$C$67-Входы!$C$68)*Входы!$C$8/Входы!$C$9*E168*12</f>
        <v>84117.002250043268</v>
      </c>
      <c r="H168" s="8">
        <f>Входы!$C$5*Входы!$C$71*B168*C168*(1-D168)*E168*12</f>
        <v>1080.0000000000009</v>
      </c>
      <c r="I168" s="8">
        <f t="shared" si="4"/>
        <v>98113.802250043285</v>
      </c>
      <c r="J168" s="8">
        <f>I168-Входы!$C$75*12-Входы!$C$77-Входы!$C$78-Входы!$C$79*Входы!$C$8/Входы!$C$9</f>
        <v>-313117.08680551552</v>
      </c>
      <c r="K168" s="24" t="str">
        <f t="shared" si="5"/>
        <v>Да</v>
      </c>
    </row>
    <row r="169" spans="1:11" x14ac:dyDescent="0.25">
      <c r="A169" s="2">
        <v>65000</v>
      </c>
      <c r="B169" s="25">
        <v>0.5</v>
      </c>
      <c r="C169" s="25">
        <v>0.6</v>
      </c>
      <c r="D169" s="25">
        <v>0.98</v>
      </c>
      <c r="E169" s="19">
        <v>4</v>
      </c>
      <c r="F169" s="8">
        <f>A169*B169*C169*(1-D169)*(1-Входы!$C$73)*E169*12</f>
        <v>17222.400000000016</v>
      </c>
      <c r="G169" s="8">
        <f>(Входы!$C$67-Входы!$C$68)*Входы!$C$8/Входы!$C$9*E169*12</f>
        <v>112156.00300005768</v>
      </c>
      <c r="H169" s="8">
        <f>Входы!$C$5*Входы!$C$71*B169*C169*(1-D169)*E169*12</f>
        <v>1440.0000000000014</v>
      </c>
      <c r="I169" s="8">
        <f t="shared" si="4"/>
        <v>130818.4030000577</v>
      </c>
      <c r="J169" s="8">
        <f>I169-Входы!$C$75*12-Входы!$C$77-Входы!$C$78-Входы!$C$79*Входы!$C$8/Входы!$C$9</f>
        <v>-280412.4860555011</v>
      </c>
      <c r="K169" s="24" t="str">
        <f t="shared" si="5"/>
        <v>Да</v>
      </c>
    </row>
    <row r="170" spans="1:11" x14ac:dyDescent="0.25">
      <c r="A170" s="2">
        <v>65000</v>
      </c>
      <c r="B170" s="25">
        <v>0.5</v>
      </c>
      <c r="C170" s="25">
        <v>1</v>
      </c>
      <c r="D170" s="25">
        <v>0</v>
      </c>
      <c r="E170" s="19">
        <v>0</v>
      </c>
      <c r="F170" s="8">
        <f>A170*B170*C170*(1-D170)*(1-Входы!$C$73)*E170*12</f>
        <v>0</v>
      </c>
      <c r="G170" s="8">
        <f>(Входы!$C$67-Входы!$C$68)*Входы!$C$8/Входы!$C$9*E170*12</f>
        <v>0</v>
      </c>
      <c r="H170" s="8">
        <f>Входы!$C$5*Входы!$C$71*B170*C170*(1-D170)*E170*12</f>
        <v>0</v>
      </c>
      <c r="I170" s="8">
        <f t="shared" si="4"/>
        <v>0</v>
      </c>
      <c r="J170" s="8">
        <f>I170-Входы!$C$75*12-Входы!$C$77-Входы!$C$78-Входы!$C$79*Входы!$C$8/Входы!$C$9</f>
        <v>-411230.88905555877</v>
      </c>
      <c r="K170" s="24" t="str">
        <f t="shared" si="5"/>
        <v>Да</v>
      </c>
    </row>
    <row r="171" spans="1:11" x14ac:dyDescent="0.25">
      <c r="A171" s="2">
        <v>65000</v>
      </c>
      <c r="B171" s="25">
        <v>0.5</v>
      </c>
      <c r="C171" s="25">
        <v>1</v>
      </c>
      <c r="D171" s="25">
        <v>0</v>
      </c>
      <c r="E171" s="19">
        <v>1</v>
      </c>
      <c r="F171" s="8">
        <f>A171*B171*C171*(1-D171)*(1-Входы!$C$73)*E171*12</f>
        <v>358800</v>
      </c>
      <c r="G171" s="8">
        <f>(Входы!$C$67-Входы!$C$68)*Входы!$C$8/Входы!$C$9*E171*12</f>
        <v>28039.00075001442</v>
      </c>
      <c r="H171" s="8">
        <f>Входы!$C$5*Входы!$C$71*B171*C171*(1-D171)*E171*12</f>
        <v>30000</v>
      </c>
      <c r="I171" s="8">
        <f t="shared" si="4"/>
        <v>416839.00075001444</v>
      </c>
      <c r="J171" s="8">
        <f>I171-Входы!$C$75*12-Входы!$C$77-Входы!$C$78-Входы!$C$79*Входы!$C$8/Входы!$C$9</f>
        <v>5608.1116944556816</v>
      </c>
      <c r="K171" s="24" t="str">
        <f t="shared" si="5"/>
        <v>Нет</v>
      </c>
    </row>
    <row r="172" spans="1:11" x14ac:dyDescent="0.25">
      <c r="A172" s="2">
        <v>65000</v>
      </c>
      <c r="B172" s="25">
        <v>0.5</v>
      </c>
      <c r="C172" s="25">
        <v>1</v>
      </c>
      <c r="D172" s="25">
        <v>0</v>
      </c>
      <c r="E172" s="19">
        <v>2</v>
      </c>
      <c r="F172" s="8">
        <f>A172*B172*C172*(1-D172)*(1-Входы!$C$73)*E172*12</f>
        <v>717600</v>
      </c>
      <c r="G172" s="8">
        <f>(Входы!$C$67-Входы!$C$68)*Входы!$C$8/Входы!$C$9*E172*12</f>
        <v>56078.00150002884</v>
      </c>
      <c r="H172" s="8">
        <f>Входы!$C$5*Входы!$C$71*B172*C172*(1-D172)*E172*12</f>
        <v>60000</v>
      </c>
      <c r="I172" s="8">
        <f t="shared" si="4"/>
        <v>833678.00150002888</v>
      </c>
      <c r="J172" s="8">
        <f>I172-Входы!$C$75*12-Входы!$C$77-Входы!$C$78-Входы!$C$79*Входы!$C$8/Входы!$C$9</f>
        <v>422447.11244447011</v>
      </c>
      <c r="K172" s="24" t="str">
        <f t="shared" si="5"/>
        <v>Нет</v>
      </c>
    </row>
    <row r="173" spans="1:11" x14ac:dyDescent="0.25">
      <c r="A173" s="2">
        <v>65000</v>
      </c>
      <c r="B173" s="25">
        <v>0.5</v>
      </c>
      <c r="C173" s="25">
        <v>1</v>
      </c>
      <c r="D173" s="25">
        <v>0</v>
      </c>
      <c r="E173" s="19">
        <v>3</v>
      </c>
      <c r="F173" s="8">
        <f>A173*B173*C173*(1-D173)*(1-Входы!$C$73)*E173*12</f>
        <v>1076400</v>
      </c>
      <c r="G173" s="8">
        <f>(Входы!$C$67-Входы!$C$68)*Входы!$C$8/Входы!$C$9*E173*12</f>
        <v>84117.002250043268</v>
      </c>
      <c r="H173" s="8">
        <f>Входы!$C$5*Входы!$C$71*B173*C173*(1-D173)*E173*12</f>
        <v>90000</v>
      </c>
      <c r="I173" s="8">
        <f t="shared" si="4"/>
        <v>1250517.0022500432</v>
      </c>
      <c r="J173" s="8">
        <f>I173-Входы!$C$75*12-Входы!$C$77-Входы!$C$78-Входы!$C$79*Входы!$C$8/Входы!$C$9</f>
        <v>839286.1131944845</v>
      </c>
      <c r="K173" s="24" t="str">
        <f t="shared" si="5"/>
        <v>Нет</v>
      </c>
    </row>
    <row r="174" spans="1:11" x14ac:dyDescent="0.25">
      <c r="A174" s="2">
        <v>65000</v>
      </c>
      <c r="B174" s="25">
        <v>0.5</v>
      </c>
      <c r="C174" s="25">
        <v>1</v>
      </c>
      <c r="D174" s="25">
        <v>0</v>
      </c>
      <c r="E174" s="19">
        <v>4</v>
      </c>
      <c r="F174" s="8">
        <f>A174*B174*C174*(1-D174)*(1-Входы!$C$73)*E174*12</f>
        <v>1435200</v>
      </c>
      <c r="G174" s="8">
        <f>(Входы!$C$67-Входы!$C$68)*Входы!$C$8/Входы!$C$9*E174*12</f>
        <v>112156.00300005768</v>
      </c>
      <c r="H174" s="8">
        <f>Входы!$C$5*Входы!$C$71*B174*C174*(1-D174)*E174*12</f>
        <v>120000</v>
      </c>
      <c r="I174" s="8">
        <f t="shared" si="4"/>
        <v>1667356.0030000578</v>
      </c>
      <c r="J174" s="8">
        <f>I174-Входы!$C$75*12-Входы!$C$77-Входы!$C$78-Входы!$C$79*Входы!$C$8/Входы!$C$9</f>
        <v>1256125.1139444991</v>
      </c>
      <c r="K174" s="24" t="str">
        <f t="shared" si="5"/>
        <v>Нет</v>
      </c>
    </row>
    <row r="175" spans="1:11" x14ac:dyDescent="0.25">
      <c r="A175" s="2">
        <v>65000</v>
      </c>
      <c r="B175" s="25">
        <v>0.5</v>
      </c>
      <c r="C175" s="25">
        <v>1</v>
      </c>
      <c r="D175" s="25">
        <v>0.8</v>
      </c>
      <c r="E175" s="19">
        <v>0</v>
      </c>
      <c r="F175" s="8">
        <f>A175*B175*C175*(1-D175)*(1-Входы!$C$73)*E175*12</f>
        <v>0</v>
      </c>
      <c r="G175" s="8">
        <f>(Входы!$C$67-Входы!$C$68)*Входы!$C$8/Входы!$C$9*E175*12</f>
        <v>0</v>
      </c>
      <c r="H175" s="8">
        <f>Входы!$C$5*Входы!$C$71*B175*C175*(1-D175)*E175*12</f>
        <v>0</v>
      </c>
      <c r="I175" s="8">
        <f t="shared" si="4"/>
        <v>0</v>
      </c>
      <c r="J175" s="8">
        <f>I175-Входы!$C$75*12-Входы!$C$77-Входы!$C$78-Входы!$C$79*Входы!$C$8/Входы!$C$9</f>
        <v>-411230.88905555877</v>
      </c>
      <c r="K175" s="24" t="str">
        <f t="shared" si="5"/>
        <v>Да</v>
      </c>
    </row>
    <row r="176" spans="1:11" x14ac:dyDescent="0.25">
      <c r="A176" s="2">
        <v>65000</v>
      </c>
      <c r="B176" s="25">
        <v>0.5</v>
      </c>
      <c r="C176" s="25">
        <v>1</v>
      </c>
      <c r="D176" s="25">
        <v>0.8</v>
      </c>
      <c r="E176" s="19">
        <v>1</v>
      </c>
      <c r="F176" s="8">
        <f>A176*B176*C176*(1-D176)*(1-Входы!$C$73)*E176*12</f>
        <v>71759.999999999971</v>
      </c>
      <c r="G176" s="8">
        <f>(Входы!$C$67-Входы!$C$68)*Входы!$C$8/Входы!$C$9*E176*12</f>
        <v>28039.00075001442</v>
      </c>
      <c r="H176" s="8">
        <f>Входы!$C$5*Входы!$C$71*B176*C176*(1-D176)*E176*12</f>
        <v>5999.9999999999982</v>
      </c>
      <c r="I176" s="8">
        <f t="shared" si="4"/>
        <v>105799.00075001438</v>
      </c>
      <c r="J176" s="8">
        <f>I176-Входы!$C$75*12-Входы!$C$77-Входы!$C$78-Входы!$C$79*Входы!$C$8/Входы!$C$9</f>
        <v>-305431.88830554439</v>
      </c>
      <c r="K176" s="24" t="str">
        <f t="shared" si="5"/>
        <v>Да</v>
      </c>
    </row>
    <row r="177" spans="1:11" x14ac:dyDescent="0.25">
      <c r="A177" s="2">
        <v>65000</v>
      </c>
      <c r="B177" s="25">
        <v>0.5</v>
      </c>
      <c r="C177" s="25">
        <v>1</v>
      </c>
      <c r="D177" s="25">
        <v>0.8</v>
      </c>
      <c r="E177" s="19">
        <v>2</v>
      </c>
      <c r="F177" s="8">
        <f>A177*B177*C177*(1-D177)*(1-Входы!$C$73)*E177*12</f>
        <v>143519.99999999994</v>
      </c>
      <c r="G177" s="8">
        <f>(Входы!$C$67-Входы!$C$68)*Входы!$C$8/Входы!$C$9*E177*12</f>
        <v>56078.00150002884</v>
      </c>
      <c r="H177" s="8">
        <f>Входы!$C$5*Входы!$C$71*B177*C177*(1-D177)*E177*12</f>
        <v>11999.999999999996</v>
      </c>
      <c r="I177" s="8">
        <f t="shared" si="4"/>
        <v>211598.00150002877</v>
      </c>
      <c r="J177" s="8">
        <f>I177-Входы!$C$75*12-Входы!$C$77-Входы!$C$78-Входы!$C$79*Входы!$C$8/Входы!$C$9</f>
        <v>-199632.88755553</v>
      </c>
      <c r="K177" s="24" t="str">
        <f t="shared" si="5"/>
        <v>Да</v>
      </c>
    </row>
    <row r="178" spans="1:11" x14ac:dyDescent="0.25">
      <c r="A178" s="2">
        <v>65000</v>
      </c>
      <c r="B178" s="25">
        <v>0.5</v>
      </c>
      <c r="C178" s="25">
        <v>1</v>
      </c>
      <c r="D178" s="25">
        <v>0.8</v>
      </c>
      <c r="E178" s="19">
        <v>3</v>
      </c>
      <c r="F178" s="8">
        <f>A178*B178*C178*(1-D178)*(1-Входы!$C$73)*E178*12</f>
        <v>215279.99999999991</v>
      </c>
      <c r="G178" s="8">
        <f>(Входы!$C$67-Входы!$C$68)*Входы!$C$8/Входы!$C$9*E178*12</f>
        <v>84117.002250043268</v>
      </c>
      <c r="H178" s="8">
        <f>Входы!$C$5*Входы!$C$71*B178*C178*(1-D178)*E178*12</f>
        <v>17999.999999999993</v>
      </c>
      <c r="I178" s="8">
        <f t="shared" si="4"/>
        <v>317397.00225004321</v>
      </c>
      <c r="J178" s="8">
        <f>I178-Входы!$C$75*12-Входы!$C$77-Входы!$C$78-Входы!$C$79*Входы!$C$8/Входы!$C$9</f>
        <v>-93833.886805515547</v>
      </c>
      <c r="K178" s="24" t="str">
        <f t="shared" si="5"/>
        <v>Да</v>
      </c>
    </row>
    <row r="179" spans="1:11" x14ac:dyDescent="0.25">
      <c r="A179" s="2">
        <v>65000</v>
      </c>
      <c r="B179" s="25">
        <v>0.5</v>
      </c>
      <c r="C179" s="25">
        <v>1</v>
      </c>
      <c r="D179" s="25">
        <v>0.8</v>
      </c>
      <c r="E179" s="19">
        <v>4</v>
      </c>
      <c r="F179" s="8">
        <f>A179*B179*C179*(1-D179)*(1-Входы!$C$73)*E179*12</f>
        <v>287039.99999999988</v>
      </c>
      <c r="G179" s="8">
        <f>(Входы!$C$67-Входы!$C$68)*Входы!$C$8/Входы!$C$9*E179*12</f>
        <v>112156.00300005768</v>
      </c>
      <c r="H179" s="8">
        <f>Входы!$C$5*Входы!$C$71*B179*C179*(1-D179)*E179*12</f>
        <v>23999.999999999993</v>
      </c>
      <c r="I179" s="8">
        <f t="shared" si="4"/>
        <v>423196.00300005754</v>
      </c>
      <c r="J179" s="8">
        <f>I179-Входы!$C$75*12-Входы!$C$77-Входы!$C$78-Входы!$C$79*Входы!$C$8/Входы!$C$9</f>
        <v>11965.113944498775</v>
      </c>
      <c r="K179" s="24" t="str">
        <f t="shared" si="5"/>
        <v>Нет</v>
      </c>
    </row>
    <row r="180" spans="1:11" x14ac:dyDescent="0.25">
      <c r="A180" s="2">
        <v>65000</v>
      </c>
      <c r="B180" s="25">
        <v>0.5</v>
      </c>
      <c r="C180" s="25">
        <v>1</v>
      </c>
      <c r="D180" s="25">
        <v>0.98</v>
      </c>
      <c r="E180" s="19">
        <v>0</v>
      </c>
      <c r="F180" s="8">
        <f>A180*B180*C180*(1-D180)*(1-Входы!$C$73)*E180*12</f>
        <v>0</v>
      </c>
      <c r="G180" s="8">
        <f>(Входы!$C$67-Входы!$C$68)*Входы!$C$8/Входы!$C$9*E180*12</f>
        <v>0</v>
      </c>
      <c r="H180" s="8">
        <f>Входы!$C$5*Входы!$C$71*B180*C180*(1-D180)*E180*12</f>
        <v>0</v>
      </c>
      <c r="I180" s="8">
        <f t="shared" si="4"/>
        <v>0</v>
      </c>
      <c r="J180" s="8">
        <f>I180-Входы!$C$75*12-Входы!$C$77-Входы!$C$78-Входы!$C$79*Входы!$C$8/Входы!$C$9</f>
        <v>-411230.88905555877</v>
      </c>
      <c r="K180" s="24" t="str">
        <f t="shared" si="5"/>
        <v>Да</v>
      </c>
    </row>
    <row r="181" spans="1:11" x14ac:dyDescent="0.25">
      <c r="A181" s="2">
        <v>65000</v>
      </c>
      <c r="B181" s="25">
        <v>0.5</v>
      </c>
      <c r="C181" s="25">
        <v>1</v>
      </c>
      <c r="D181" s="25">
        <v>0.98</v>
      </c>
      <c r="E181" s="19">
        <v>1</v>
      </c>
      <c r="F181" s="8">
        <f>A181*B181*C181*(1-D181)*(1-Входы!$C$73)*E181*12</f>
        <v>7176.0000000000073</v>
      </c>
      <c r="G181" s="8">
        <f>(Входы!$C$67-Входы!$C$68)*Входы!$C$8/Входы!$C$9*E181*12</f>
        <v>28039.00075001442</v>
      </c>
      <c r="H181" s="8">
        <f>Входы!$C$5*Входы!$C$71*B181*C181*(1-D181)*E181*12</f>
        <v>600.00000000000045</v>
      </c>
      <c r="I181" s="8">
        <f t="shared" si="4"/>
        <v>35815.000750014427</v>
      </c>
      <c r="J181" s="8">
        <f>I181-Входы!$C$75*12-Входы!$C$77-Входы!$C$78-Входы!$C$79*Входы!$C$8/Входы!$C$9</f>
        <v>-375415.88830554433</v>
      </c>
      <c r="K181" s="24" t="str">
        <f t="shared" si="5"/>
        <v>Да</v>
      </c>
    </row>
    <row r="182" spans="1:11" x14ac:dyDescent="0.25">
      <c r="A182" s="2">
        <v>65000</v>
      </c>
      <c r="B182" s="25">
        <v>0.5</v>
      </c>
      <c r="C182" s="25">
        <v>1</v>
      </c>
      <c r="D182" s="25">
        <v>0.98</v>
      </c>
      <c r="E182" s="19">
        <v>2</v>
      </c>
      <c r="F182" s="8">
        <f>A182*B182*C182*(1-D182)*(1-Входы!$C$73)*E182*12</f>
        <v>14352.000000000015</v>
      </c>
      <c r="G182" s="8">
        <f>(Входы!$C$67-Входы!$C$68)*Входы!$C$8/Входы!$C$9*E182*12</f>
        <v>56078.00150002884</v>
      </c>
      <c r="H182" s="8">
        <f>Входы!$C$5*Входы!$C$71*B182*C182*(1-D182)*E182*12</f>
        <v>1200.0000000000009</v>
      </c>
      <c r="I182" s="8">
        <f t="shared" si="4"/>
        <v>71630.001500028855</v>
      </c>
      <c r="J182" s="8">
        <f>I182-Входы!$C$75*12-Входы!$C$77-Входы!$C$78-Входы!$C$79*Входы!$C$8/Входы!$C$9</f>
        <v>-339600.88755552989</v>
      </c>
      <c r="K182" s="24" t="str">
        <f t="shared" si="5"/>
        <v>Да</v>
      </c>
    </row>
    <row r="183" spans="1:11" x14ac:dyDescent="0.25">
      <c r="A183" s="2">
        <v>65000</v>
      </c>
      <c r="B183" s="25">
        <v>0.5</v>
      </c>
      <c r="C183" s="25">
        <v>1</v>
      </c>
      <c r="D183" s="25">
        <v>0.98</v>
      </c>
      <c r="E183" s="19">
        <v>3</v>
      </c>
      <c r="F183" s="8">
        <f>A183*B183*C183*(1-D183)*(1-Входы!$C$73)*E183*12</f>
        <v>21528.000000000022</v>
      </c>
      <c r="G183" s="8">
        <f>(Входы!$C$67-Входы!$C$68)*Входы!$C$8/Входы!$C$9*E183*12</f>
        <v>84117.002250043268</v>
      </c>
      <c r="H183" s="8">
        <f>Входы!$C$5*Входы!$C$71*B183*C183*(1-D183)*E183*12</f>
        <v>1800.0000000000014</v>
      </c>
      <c r="I183" s="8">
        <f t="shared" si="4"/>
        <v>107445.0022500433</v>
      </c>
      <c r="J183" s="8">
        <f>I183-Входы!$C$75*12-Входы!$C$77-Входы!$C$78-Входы!$C$79*Входы!$C$8/Входы!$C$9</f>
        <v>-303785.88680551545</v>
      </c>
      <c r="K183" s="24" t="str">
        <f t="shared" si="5"/>
        <v>Да</v>
      </c>
    </row>
    <row r="184" spans="1:11" x14ac:dyDescent="0.25">
      <c r="A184" s="2">
        <v>65000</v>
      </c>
      <c r="B184" s="25">
        <v>0.5</v>
      </c>
      <c r="C184" s="25">
        <v>1</v>
      </c>
      <c r="D184" s="25">
        <v>0.98</v>
      </c>
      <c r="E184" s="19">
        <v>4</v>
      </c>
      <c r="F184" s="8">
        <f>A184*B184*C184*(1-D184)*(1-Входы!$C$73)*E184*12</f>
        <v>28704.000000000029</v>
      </c>
      <c r="G184" s="8">
        <f>(Входы!$C$67-Входы!$C$68)*Входы!$C$8/Входы!$C$9*E184*12</f>
        <v>112156.00300005768</v>
      </c>
      <c r="H184" s="8">
        <f>Входы!$C$5*Входы!$C$71*B184*C184*(1-D184)*E184*12</f>
        <v>2400.0000000000018</v>
      </c>
      <c r="I184" s="8">
        <f t="shared" si="4"/>
        <v>143260.00300005771</v>
      </c>
      <c r="J184" s="8">
        <f>I184-Входы!$C$75*12-Входы!$C$77-Входы!$C$78-Входы!$C$79*Входы!$C$8/Входы!$C$9</f>
        <v>-267970.88605550106</v>
      </c>
      <c r="K184" s="24" t="str">
        <f t="shared" si="5"/>
        <v>Да</v>
      </c>
    </row>
    <row r="185" spans="1:11" x14ac:dyDescent="0.25">
      <c r="A185" s="2">
        <v>65000</v>
      </c>
      <c r="B185" s="25">
        <v>0.8</v>
      </c>
      <c r="C185" s="25">
        <v>0.3</v>
      </c>
      <c r="D185" s="25">
        <v>0</v>
      </c>
      <c r="E185" s="19">
        <v>0</v>
      </c>
      <c r="F185" s="8">
        <f>A185*B185*C185*(1-D185)*(1-Входы!$C$73)*E185*12</f>
        <v>0</v>
      </c>
      <c r="G185" s="8">
        <f>(Входы!$C$67-Входы!$C$68)*Входы!$C$8/Входы!$C$9*E185*12</f>
        <v>0</v>
      </c>
      <c r="H185" s="8">
        <f>Входы!$C$5*Входы!$C$71*B185*C185*(1-D185)*E185*12</f>
        <v>0</v>
      </c>
      <c r="I185" s="8">
        <f t="shared" si="4"/>
        <v>0</v>
      </c>
      <c r="J185" s="8">
        <f>I185-Входы!$C$75*12-Входы!$C$77-Входы!$C$78-Входы!$C$79*Входы!$C$8/Входы!$C$9</f>
        <v>-411230.88905555877</v>
      </c>
      <c r="K185" s="24" t="str">
        <f t="shared" si="5"/>
        <v>Да</v>
      </c>
    </row>
    <row r="186" spans="1:11" x14ac:dyDescent="0.25">
      <c r="A186" s="2">
        <v>65000</v>
      </c>
      <c r="B186" s="25">
        <v>0.8</v>
      </c>
      <c r="C186" s="25">
        <v>0.3</v>
      </c>
      <c r="D186" s="25">
        <v>0</v>
      </c>
      <c r="E186" s="19">
        <v>1</v>
      </c>
      <c r="F186" s="8">
        <f>A186*B186*C186*(1-D186)*(1-Входы!$C$73)*E186*12</f>
        <v>172224</v>
      </c>
      <c r="G186" s="8">
        <f>(Входы!$C$67-Входы!$C$68)*Входы!$C$8/Входы!$C$9*E186*12</f>
        <v>28039.00075001442</v>
      </c>
      <c r="H186" s="8">
        <f>Входы!$C$5*Входы!$C$71*B186*C186*(1-D186)*E186*12</f>
        <v>14400</v>
      </c>
      <c r="I186" s="8">
        <f t="shared" si="4"/>
        <v>214663.00075001441</v>
      </c>
      <c r="J186" s="8">
        <f>I186-Входы!$C$75*12-Входы!$C$77-Входы!$C$78-Входы!$C$79*Входы!$C$8/Входы!$C$9</f>
        <v>-196567.88830554436</v>
      </c>
      <c r="K186" s="24" t="str">
        <f t="shared" si="5"/>
        <v>Да</v>
      </c>
    </row>
    <row r="187" spans="1:11" x14ac:dyDescent="0.25">
      <c r="A187" s="2">
        <v>65000</v>
      </c>
      <c r="B187" s="25">
        <v>0.8</v>
      </c>
      <c r="C187" s="25">
        <v>0.3</v>
      </c>
      <c r="D187" s="25">
        <v>0</v>
      </c>
      <c r="E187" s="19">
        <v>2</v>
      </c>
      <c r="F187" s="8">
        <f>A187*B187*C187*(1-D187)*(1-Входы!$C$73)*E187*12</f>
        <v>344448</v>
      </c>
      <c r="G187" s="8">
        <f>(Входы!$C$67-Входы!$C$68)*Входы!$C$8/Входы!$C$9*E187*12</f>
        <v>56078.00150002884</v>
      </c>
      <c r="H187" s="8">
        <f>Входы!$C$5*Входы!$C$71*B187*C187*(1-D187)*E187*12</f>
        <v>28800</v>
      </c>
      <c r="I187" s="8">
        <f t="shared" si="4"/>
        <v>429326.00150002883</v>
      </c>
      <c r="J187" s="8">
        <f>I187-Входы!$C$75*12-Входы!$C$77-Входы!$C$78-Входы!$C$79*Входы!$C$8/Входы!$C$9</f>
        <v>18095.112444470065</v>
      </c>
      <c r="K187" s="24" t="str">
        <f t="shared" si="5"/>
        <v>Нет</v>
      </c>
    </row>
    <row r="188" spans="1:11" x14ac:dyDescent="0.25">
      <c r="A188" s="2">
        <v>65000</v>
      </c>
      <c r="B188" s="25">
        <v>0.8</v>
      </c>
      <c r="C188" s="25">
        <v>0.3</v>
      </c>
      <c r="D188" s="25">
        <v>0</v>
      </c>
      <c r="E188" s="19">
        <v>3</v>
      </c>
      <c r="F188" s="8">
        <f>A188*B188*C188*(1-D188)*(1-Входы!$C$73)*E188*12</f>
        <v>516672</v>
      </c>
      <c r="G188" s="8">
        <f>(Входы!$C$67-Входы!$C$68)*Входы!$C$8/Входы!$C$9*E188*12</f>
        <v>84117.002250043268</v>
      </c>
      <c r="H188" s="8">
        <f>Входы!$C$5*Входы!$C$71*B188*C188*(1-D188)*E188*12</f>
        <v>43200</v>
      </c>
      <c r="I188" s="8">
        <f t="shared" si="4"/>
        <v>643989.00225004321</v>
      </c>
      <c r="J188" s="8">
        <f>I188-Входы!$C$75*12-Входы!$C$77-Входы!$C$78-Входы!$C$79*Входы!$C$8/Входы!$C$9</f>
        <v>232758.11319448444</v>
      </c>
      <c r="K188" s="24" t="str">
        <f t="shared" si="5"/>
        <v>Нет</v>
      </c>
    </row>
    <row r="189" spans="1:11" x14ac:dyDescent="0.25">
      <c r="A189" s="2">
        <v>65000</v>
      </c>
      <c r="B189" s="25">
        <v>0.8</v>
      </c>
      <c r="C189" s="25">
        <v>0.3</v>
      </c>
      <c r="D189" s="25">
        <v>0</v>
      </c>
      <c r="E189" s="19">
        <v>4</v>
      </c>
      <c r="F189" s="8">
        <f>A189*B189*C189*(1-D189)*(1-Входы!$C$73)*E189*12</f>
        <v>688896</v>
      </c>
      <c r="G189" s="8">
        <f>(Входы!$C$67-Входы!$C$68)*Входы!$C$8/Входы!$C$9*E189*12</f>
        <v>112156.00300005768</v>
      </c>
      <c r="H189" s="8">
        <f>Входы!$C$5*Входы!$C$71*B189*C189*(1-D189)*E189*12</f>
        <v>57600</v>
      </c>
      <c r="I189" s="8">
        <f t="shared" si="4"/>
        <v>858652.00300005765</v>
      </c>
      <c r="J189" s="8">
        <f>I189-Входы!$C$75*12-Входы!$C$77-Входы!$C$78-Входы!$C$79*Входы!$C$8/Входы!$C$9</f>
        <v>447421.11394449888</v>
      </c>
      <c r="K189" s="24" t="str">
        <f t="shared" si="5"/>
        <v>Нет</v>
      </c>
    </row>
    <row r="190" spans="1:11" x14ac:dyDescent="0.25">
      <c r="A190" s="2">
        <v>65000</v>
      </c>
      <c r="B190" s="25">
        <v>0.8</v>
      </c>
      <c r="C190" s="25">
        <v>0.3</v>
      </c>
      <c r="D190" s="25">
        <v>0.8</v>
      </c>
      <c r="E190" s="19">
        <v>0</v>
      </c>
      <c r="F190" s="8">
        <f>A190*B190*C190*(1-D190)*(1-Входы!$C$73)*E190*12</f>
        <v>0</v>
      </c>
      <c r="G190" s="8">
        <f>(Входы!$C$67-Входы!$C$68)*Входы!$C$8/Входы!$C$9*E190*12</f>
        <v>0</v>
      </c>
      <c r="H190" s="8">
        <f>Входы!$C$5*Входы!$C$71*B190*C190*(1-D190)*E190*12</f>
        <v>0</v>
      </c>
      <c r="I190" s="8">
        <f t="shared" si="4"/>
        <v>0</v>
      </c>
      <c r="J190" s="8">
        <f>I190-Входы!$C$75*12-Входы!$C$77-Входы!$C$78-Входы!$C$79*Входы!$C$8/Входы!$C$9</f>
        <v>-411230.88905555877</v>
      </c>
      <c r="K190" s="24" t="str">
        <f t="shared" si="5"/>
        <v>Да</v>
      </c>
    </row>
    <row r="191" spans="1:11" x14ac:dyDescent="0.25">
      <c r="A191" s="2">
        <v>65000</v>
      </c>
      <c r="B191" s="25">
        <v>0.8</v>
      </c>
      <c r="C191" s="25">
        <v>0.3</v>
      </c>
      <c r="D191" s="25">
        <v>0.8</v>
      </c>
      <c r="E191" s="19">
        <v>1</v>
      </c>
      <c r="F191" s="8">
        <f>A191*B191*C191*(1-D191)*(1-Входы!$C$73)*E191*12</f>
        <v>34444.799999999988</v>
      </c>
      <c r="G191" s="8">
        <f>(Входы!$C$67-Входы!$C$68)*Входы!$C$8/Входы!$C$9*E191*12</f>
        <v>28039.00075001442</v>
      </c>
      <c r="H191" s="8">
        <f>Входы!$C$5*Входы!$C$71*B191*C191*(1-D191)*E191*12</f>
        <v>2879.9999999999991</v>
      </c>
      <c r="I191" s="8">
        <f t="shared" si="4"/>
        <v>65363.800750014409</v>
      </c>
      <c r="J191" s="8">
        <f>I191-Входы!$C$75*12-Входы!$C$77-Входы!$C$78-Входы!$C$79*Входы!$C$8/Входы!$C$9</f>
        <v>-345867.0883055444</v>
      </c>
      <c r="K191" s="24" t="str">
        <f t="shared" si="5"/>
        <v>Да</v>
      </c>
    </row>
    <row r="192" spans="1:11" x14ac:dyDescent="0.25">
      <c r="A192" s="2">
        <v>65000</v>
      </c>
      <c r="B192" s="25">
        <v>0.8</v>
      </c>
      <c r="C192" s="25">
        <v>0.3</v>
      </c>
      <c r="D192" s="25">
        <v>0.8</v>
      </c>
      <c r="E192" s="19">
        <v>2</v>
      </c>
      <c r="F192" s="8">
        <f>A192*B192*C192*(1-D192)*(1-Входы!$C$73)*E192*12</f>
        <v>68889.599999999977</v>
      </c>
      <c r="G192" s="8">
        <f>(Входы!$C$67-Входы!$C$68)*Входы!$C$8/Входы!$C$9*E192*12</f>
        <v>56078.00150002884</v>
      </c>
      <c r="H192" s="8">
        <f>Входы!$C$5*Входы!$C$71*B192*C192*(1-D192)*E192*12</f>
        <v>5759.9999999999982</v>
      </c>
      <c r="I192" s="8">
        <f t="shared" si="4"/>
        <v>130727.60150002882</v>
      </c>
      <c r="J192" s="8">
        <f>I192-Входы!$C$75*12-Входы!$C$77-Входы!$C$78-Входы!$C$79*Входы!$C$8/Входы!$C$9</f>
        <v>-280503.28755552997</v>
      </c>
      <c r="K192" s="24" t="str">
        <f t="shared" si="5"/>
        <v>Да</v>
      </c>
    </row>
    <row r="193" spans="1:11" x14ac:dyDescent="0.25">
      <c r="A193" s="2">
        <v>65000</v>
      </c>
      <c r="B193" s="25">
        <v>0.8</v>
      </c>
      <c r="C193" s="25">
        <v>0.3</v>
      </c>
      <c r="D193" s="25">
        <v>0.8</v>
      </c>
      <c r="E193" s="19">
        <v>3</v>
      </c>
      <c r="F193" s="8">
        <f>A193*B193*C193*(1-D193)*(1-Входы!$C$73)*E193*12</f>
        <v>103334.39999999997</v>
      </c>
      <c r="G193" s="8">
        <f>(Входы!$C$67-Входы!$C$68)*Входы!$C$8/Входы!$C$9*E193*12</f>
        <v>84117.002250043268</v>
      </c>
      <c r="H193" s="8">
        <f>Входы!$C$5*Входы!$C$71*B193*C193*(1-D193)*E193*12</f>
        <v>8639.9999999999964</v>
      </c>
      <c r="I193" s="8">
        <f t="shared" si="4"/>
        <v>196091.40225004323</v>
      </c>
      <c r="J193" s="8">
        <f>I193-Входы!$C$75*12-Входы!$C$77-Входы!$C$78-Входы!$C$79*Входы!$C$8/Входы!$C$9</f>
        <v>-215139.48680551554</v>
      </c>
      <c r="K193" s="24" t="str">
        <f t="shared" si="5"/>
        <v>Да</v>
      </c>
    </row>
    <row r="194" spans="1:11" x14ac:dyDescent="0.25">
      <c r="A194" s="2">
        <v>65000</v>
      </c>
      <c r="B194" s="25">
        <v>0.8</v>
      </c>
      <c r="C194" s="25">
        <v>0.3</v>
      </c>
      <c r="D194" s="25">
        <v>0.8</v>
      </c>
      <c r="E194" s="19">
        <v>4</v>
      </c>
      <c r="F194" s="8">
        <f>A194*B194*C194*(1-D194)*(1-Входы!$C$73)*E194*12</f>
        <v>137779.19999999995</v>
      </c>
      <c r="G194" s="8">
        <f>(Входы!$C$67-Входы!$C$68)*Входы!$C$8/Входы!$C$9*E194*12</f>
        <v>112156.00300005768</v>
      </c>
      <c r="H194" s="8">
        <f>Входы!$C$5*Входы!$C$71*B194*C194*(1-D194)*E194*12</f>
        <v>11519.999999999996</v>
      </c>
      <c r="I194" s="8">
        <f t="shared" si="4"/>
        <v>261455.20300005763</v>
      </c>
      <c r="J194" s="8">
        <f>I194-Входы!$C$75*12-Входы!$C$77-Входы!$C$78-Входы!$C$79*Входы!$C$8/Входы!$C$9</f>
        <v>-149775.68605550114</v>
      </c>
      <c r="K194" s="24" t="str">
        <f t="shared" si="5"/>
        <v>Да</v>
      </c>
    </row>
    <row r="195" spans="1:11" x14ac:dyDescent="0.25">
      <c r="A195" s="2">
        <v>65000</v>
      </c>
      <c r="B195" s="25">
        <v>0.8</v>
      </c>
      <c r="C195" s="25">
        <v>0.3</v>
      </c>
      <c r="D195" s="25">
        <v>0.98</v>
      </c>
      <c r="E195" s="19">
        <v>0</v>
      </c>
      <c r="F195" s="8">
        <f>A195*B195*C195*(1-D195)*(1-Входы!$C$73)*E195*12</f>
        <v>0</v>
      </c>
      <c r="G195" s="8">
        <f>(Входы!$C$67-Входы!$C$68)*Входы!$C$8/Входы!$C$9*E195*12</f>
        <v>0</v>
      </c>
      <c r="H195" s="8">
        <f>Входы!$C$5*Входы!$C$71*B195*C195*(1-D195)*E195*12</f>
        <v>0</v>
      </c>
      <c r="I195" s="8">
        <f t="shared" si="4"/>
        <v>0</v>
      </c>
      <c r="J195" s="8">
        <f>I195-Входы!$C$75*12-Входы!$C$77-Входы!$C$78-Входы!$C$79*Входы!$C$8/Входы!$C$9</f>
        <v>-411230.88905555877</v>
      </c>
      <c r="K195" s="24" t="str">
        <f t="shared" si="5"/>
        <v>Да</v>
      </c>
    </row>
    <row r="196" spans="1:11" x14ac:dyDescent="0.25">
      <c r="A196" s="2">
        <v>65000</v>
      </c>
      <c r="B196" s="25">
        <v>0.8</v>
      </c>
      <c r="C196" s="25">
        <v>0.3</v>
      </c>
      <c r="D196" s="25">
        <v>0.98</v>
      </c>
      <c r="E196" s="19">
        <v>1</v>
      </c>
      <c r="F196" s="8">
        <f>A196*B196*C196*(1-D196)*(1-Входы!$C$73)*E196*12</f>
        <v>3444.4800000000032</v>
      </c>
      <c r="G196" s="8">
        <f>(Входы!$C$67-Входы!$C$68)*Входы!$C$8/Входы!$C$9*E196*12</f>
        <v>28039.00075001442</v>
      </c>
      <c r="H196" s="8">
        <f>Входы!$C$5*Входы!$C$71*B196*C196*(1-D196)*E196*12</f>
        <v>288.00000000000023</v>
      </c>
      <c r="I196" s="8">
        <f t="shared" si="4"/>
        <v>31771.480750014423</v>
      </c>
      <c r="J196" s="8">
        <f>I196-Входы!$C$75*12-Входы!$C$77-Входы!$C$78-Входы!$C$79*Входы!$C$8/Входы!$C$9</f>
        <v>-379459.40830554435</v>
      </c>
      <c r="K196" s="24" t="str">
        <f t="shared" si="5"/>
        <v>Да</v>
      </c>
    </row>
    <row r="197" spans="1:11" x14ac:dyDescent="0.25">
      <c r="A197" s="2">
        <v>65000</v>
      </c>
      <c r="B197" s="25">
        <v>0.8</v>
      </c>
      <c r="C197" s="25">
        <v>0.3</v>
      </c>
      <c r="D197" s="25">
        <v>0.98</v>
      </c>
      <c r="E197" s="19">
        <v>2</v>
      </c>
      <c r="F197" s="8">
        <f>A197*B197*C197*(1-D197)*(1-Входы!$C$73)*E197*12</f>
        <v>6888.9600000000064</v>
      </c>
      <c r="G197" s="8">
        <f>(Входы!$C$67-Входы!$C$68)*Входы!$C$8/Входы!$C$9*E197*12</f>
        <v>56078.00150002884</v>
      </c>
      <c r="H197" s="8">
        <f>Входы!$C$5*Входы!$C$71*B197*C197*(1-D197)*E197*12</f>
        <v>576.00000000000045</v>
      </c>
      <c r="I197" s="8">
        <f t="shared" ref="I197:I260" si="6">SUM(F197:H197)</f>
        <v>63542.961500028847</v>
      </c>
      <c r="J197" s="8">
        <f>I197-Входы!$C$75*12-Входы!$C$77-Входы!$C$78-Входы!$C$79*Входы!$C$8/Входы!$C$9</f>
        <v>-347687.92755552992</v>
      </c>
      <c r="K197" s="24" t="str">
        <f t="shared" ref="K197:K260" si="7">IF(J197&lt;=0,"Да","Нет")</f>
        <v>Да</v>
      </c>
    </row>
    <row r="198" spans="1:11" x14ac:dyDescent="0.25">
      <c r="A198" s="2">
        <v>65000</v>
      </c>
      <c r="B198" s="25">
        <v>0.8</v>
      </c>
      <c r="C198" s="25">
        <v>0.3</v>
      </c>
      <c r="D198" s="25">
        <v>0.98</v>
      </c>
      <c r="E198" s="19">
        <v>3</v>
      </c>
      <c r="F198" s="8">
        <f>A198*B198*C198*(1-D198)*(1-Входы!$C$73)*E198*12</f>
        <v>10333.44000000001</v>
      </c>
      <c r="G198" s="8">
        <f>(Входы!$C$67-Входы!$C$68)*Входы!$C$8/Входы!$C$9*E198*12</f>
        <v>84117.002250043268</v>
      </c>
      <c r="H198" s="8">
        <f>Входы!$C$5*Входы!$C$71*B198*C198*(1-D198)*E198*12</f>
        <v>864.00000000000068</v>
      </c>
      <c r="I198" s="8">
        <f t="shared" si="6"/>
        <v>95314.44225004327</v>
      </c>
      <c r="J198" s="8">
        <f>I198-Входы!$C$75*12-Входы!$C$77-Входы!$C$78-Входы!$C$79*Входы!$C$8/Входы!$C$9</f>
        <v>-315916.4468055155</v>
      </c>
      <c r="K198" s="24" t="str">
        <f t="shared" si="7"/>
        <v>Да</v>
      </c>
    </row>
    <row r="199" spans="1:11" x14ac:dyDescent="0.25">
      <c r="A199" s="2">
        <v>65000</v>
      </c>
      <c r="B199" s="25">
        <v>0.8</v>
      </c>
      <c r="C199" s="25">
        <v>0.3</v>
      </c>
      <c r="D199" s="25">
        <v>0.98</v>
      </c>
      <c r="E199" s="19">
        <v>4</v>
      </c>
      <c r="F199" s="8">
        <f>A199*B199*C199*(1-D199)*(1-Входы!$C$73)*E199*12</f>
        <v>13777.920000000013</v>
      </c>
      <c r="G199" s="8">
        <f>(Входы!$C$67-Входы!$C$68)*Входы!$C$8/Входы!$C$9*E199*12</f>
        <v>112156.00300005768</v>
      </c>
      <c r="H199" s="8">
        <f>Входы!$C$5*Входы!$C$71*B199*C199*(1-D199)*E199*12</f>
        <v>1152.0000000000009</v>
      </c>
      <c r="I199" s="8">
        <f t="shared" si="6"/>
        <v>127085.92300005769</v>
      </c>
      <c r="J199" s="8">
        <f>I199-Входы!$C$75*12-Входы!$C$77-Входы!$C$78-Входы!$C$79*Входы!$C$8/Входы!$C$9</f>
        <v>-284144.96605550108</v>
      </c>
      <c r="K199" s="24" t="str">
        <f t="shared" si="7"/>
        <v>Да</v>
      </c>
    </row>
    <row r="200" spans="1:11" x14ac:dyDescent="0.25">
      <c r="A200" s="2">
        <v>65000</v>
      </c>
      <c r="B200" s="25">
        <v>0.8</v>
      </c>
      <c r="C200" s="25">
        <v>0.6</v>
      </c>
      <c r="D200" s="25">
        <v>0</v>
      </c>
      <c r="E200" s="19">
        <v>0</v>
      </c>
      <c r="F200" s="8">
        <f>A200*B200*C200*(1-D200)*(1-Входы!$C$73)*E200*12</f>
        <v>0</v>
      </c>
      <c r="G200" s="8">
        <f>(Входы!$C$67-Входы!$C$68)*Входы!$C$8/Входы!$C$9*E200*12</f>
        <v>0</v>
      </c>
      <c r="H200" s="8">
        <f>Входы!$C$5*Входы!$C$71*B200*C200*(1-D200)*E200*12</f>
        <v>0</v>
      </c>
      <c r="I200" s="8">
        <f t="shared" si="6"/>
        <v>0</v>
      </c>
      <c r="J200" s="8">
        <f>I200-Входы!$C$75*12-Входы!$C$77-Входы!$C$78-Входы!$C$79*Входы!$C$8/Входы!$C$9</f>
        <v>-411230.88905555877</v>
      </c>
      <c r="K200" s="24" t="str">
        <f t="shared" si="7"/>
        <v>Да</v>
      </c>
    </row>
    <row r="201" spans="1:11" x14ac:dyDescent="0.25">
      <c r="A201" s="2">
        <v>65000</v>
      </c>
      <c r="B201" s="25">
        <v>0.8</v>
      </c>
      <c r="C201" s="25">
        <v>0.6</v>
      </c>
      <c r="D201" s="25">
        <v>0</v>
      </c>
      <c r="E201" s="19">
        <v>1</v>
      </c>
      <c r="F201" s="8">
        <f>A201*B201*C201*(1-D201)*(1-Входы!$C$73)*E201*12</f>
        <v>344448</v>
      </c>
      <c r="G201" s="8">
        <f>(Входы!$C$67-Входы!$C$68)*Входы!$C$8/Входы!$C$9*E201*12</f>
        <v>28039.00075001442</v>
      </c>
      <c r="H201" s="8">
        <f>Входы!$C$5*Входы!$C$71*B201*C201*(1-D201)*E201*12</f>
        <v>28800</v>
      </c>
      <c r="I201" s="8">
        <f t="shared" si="6"/>
        <v>401287.00075001444</v>
      </c>
      <c r="J201" s="8">
        <f>I201-Входы!$C$75*12-Входы!$C$77-Входы!$C$78-Входы!$C$79*Входы!$C$8/Входы!$C$9</f>
        <v>-9943.8883055443184</v>
      </c>
      <c r="K201" s="24" t="str">
        <f t="shared" si="7"/>
        <v>Да</v>
      </c>
    </row>
    <row r="202" spans="1:11" x14ac:dyDescent="0.25">
      <c r="A202" s="2">
        <v>65000</v>
      </c>
      <c r="B202" s="25">
        <v>0.8</v>
      </c>
      <c r="C202" s="25">
        <v>0.6</v>
      </c>
      <c r="D202" s="25">
        <v>0</v>
      </c>
      <c r="E202" s="19">
        <v>2</v>
      </c>
      <c r="F202" s="8">
        <f>A202*B202*C202*(1-D202)*(1-Входы!$C$73)*E202*12</f>
        <v>688896</v>
      </c>
      <c r="G202" s="8">
        <f>(Входы!$C$67-Входы!$C$68)*Входы!$C$8/Входы!$C$9*E202*12</f>
        <v>56078.00150002884</v>
      </c>
      <c r="H202" s="8">
        <f>Входы!$C$5*Входы!$C$71*B202*C202*(1-D202)*E202*12</f>
        <v>57600</v>
      </c>
      <c r="I202" s="8">
        <f t="shared" si="6"/>
        <v>802574.00150002888</v>
      </c>
      <c r="J202" s="8">
        <f>I202-Входы!$C$75*12-Входы!$C$77-Входы!$C$78-Входы!$C$79*Входы!$C$8/Входы!$C$9</f>
        <v>391343.11244447011</v>
      </c>
      <c r="K202" s="24" t="str">
        <f t="shared" si="7"/>
        <v>Нет</v>
      </c>
    </row>
    <row r="203" spans="1:11" x14ac:dyDescent="0.25">
      <c r="A203" s="2">
        <v>65000</v>
      </c>
      <c r="B203" s="25">
        <v>0.8</v>
      </c>
      <c r="C203" s="25">
        <v>0.6</v>
      </c>
      <c r="D203" s="25">
        <v>0</v>
      </c>
      <c r="E203" s="19">
        <v>3</v>
      </c>
      <c r="F203" s="8">
        <f>A203*B203*C203*(1-D203)*(1-Входы!$C$73)*E203*12</f>
        <v>1033344</v>
      </c>
      <c r="G203" s="8">
        <f>(Входы!$C$67-Входы!$C$68)*Входы!$C$8/Входы!$C$9*E203*12</f>
        <v>84117.002250043268</v>
      </c>
      <c r="H203" s="8">
        <f>Входы!$C$5*Входы!$C$71*B203*C203*(1-D203)*E203*12</f>
        <v>86400</v>
      </c>
      <c r="I203" s="8">
        <f t="shared" si="6"/>
        <v>1203861.0022500432</v>
      </c>
      <c r="J203" s="8">
        <f>I203-Входы!$C$75*12-Входы!$C$77-Входы!$C$78-Входы!$C$79*Входы!$C$8/Входы!$C$9</f>
        <v>792630.1131944845</v>
      </c>
      <c r="K203" s="24" t="str">
        <f t="shared" si="7"/>
        <v>Нет</v>
      </c>
    </row>
    <row r="204" spans="1:11" x14ac:dyDescent="0.25">
      <c r="A204" s="2">
        <v>65000</v>
      </c>
      <c r="B204" s="25">
        <v>0.8</v>
      </c>
      <c r="C204" s="25">
        <v>0.6</v>
      </c>
      <c r="D204" s="25">
        <v>0</v>
      </c>
      <c r="E204" s="19">
        <v>4</v>
      </c>
      <c r="F204" s="8">
        <f>A204*B204*C204*(1-D204)*(1-Входы!$C$73)*E204*12</f>
        <v>1377792</v>
      </c>
      <c r="G204" s="8">
        <f>(Входы!$C$67-Входы!$C$68)*Входы!$C$8/Входы!$C$9*E204*12</f>
        <v>112156.00300005768</v>
      </c>
      <c r="H204" s="8">
        <f>Входы!$C$5*Входы!$C$71*B204*C204*(1-D204)*E204*12</f>
        <v>115200</v>
      </c>
      <c r="I204" s="8">
        <f t="shared" si="6"/>
        <v>1605148.0030000578</v>
      </c>
      <c r="J204" s="8">
        <f>I204-Входы!$C$75*12-Входы!$C$77-Входы!$C$78-Входы!$C$79*Входы!$C$8/Входы!$C$9</f>
        <v>1193917.1139444991</v>
      </c>
      <c r="K204" s="24" t="str">
        <f t="shared" si="7"/>
        <v>Нет</v>
      </c>
    </row>
    <row r="205" spans="1:11" x14ac:dyDescent="0.25">
      <c r="A205" s="2">
        <v>65000</v>
      </c>
      <c r="B205" s="25">
        <v>0.8</v>
      </c>
      <c r="C205" s="25">
        <v>0.6</v>
      </c>
      <c r="D205" s="25">
        <v>0.8</v>
      </c>
      <c r="E205" s="19">
        <v>0</v>
      </c>
      <c r="F205" s="8">
        <f>A205*B205*C205*(1-D205)*(1-Входы!$C$73)*E205*12</f>
        <v>0</v>
      </c>
      <c r="G205" s="8">
        <f>(Входы!$C$67-Входы!$C$68)*Входы!$C$8/Входы!$C$9*E205*12</f>
        <v>0</v>
      </c>
      <c r="H205" s="8">
        <f>Входы!$C$5*Входы!$C$71*B205*C205*(1-D205)*E205*12</f>
        <v>0</v>
      </c>
      <c r="I205" s="8">
        <f t="shared" si="6"/>
        <v>0</v>
      </c>
      <c r="J205" s="8">
        <f>I205-Входы!$C$75*12-Входы!$C$77-Входы!$C$78-Входы!$C$79*Входы!$C$8/Входы!$C$9</f>
        <v>-411230.88905555877</v>
      </c>
      <c r="K205" s="24" t="str">
        <f t="shared" si="7"/>
        <v>Да</v>
      </c>
    </row>
    <row r="206" spans="1:11" x14ac:dyDescent="0.25">
      <c r="A206" s="2">
        <v>65000</v>
      </c>
      <c r="B206" s="25">
        <v>0.8</v>
      </c>
      <c r="C206" s="25">
        <v>0.6</v>
      </c>
      <c r="D206" s="25">
        <v>0.8</v>
      </c>
      <c r="E206" s="19">
        <v>1</v>
      </c>
      <c r="F206" s="8">
        <f>A206*B206*C206*(1-D206)*(1-Входы!$C$73)*E206*12</f>
        <v>68889.599999999977</v>
      </c>
      <c r="G206" s="8">
        <f>(Входы!$C$67-Входы!$C$68)*Входы!$C$8/Входы!$C$9*E206*12</f>
        <v>28039.00075001442</v>
      </c>
      <c r="H206" s="8">
        <f>Входы!$C$5*Входы!$C$71*B206*C206*(1-D206)*E206*12</f>
        <v>5759.9999999999982</v>
      </c>
      <c r="I206" s="8">
        <f t="shared" si="6"/>
        <v>102688.60075001439</v>
      </c>
      <c r="J206" s="8">
        <f>I206-Входы!$C$75*12-Входы!$C$77-Входы!$C$78-Входы!$C$79*Входы!$C$8/Входы!$C$9</f>
        <v>-308542.28830554435</v>
      </c>
      <c r="K206" s="24" t="str">
        <f t="shared" si="7"/>
        <v>Да</v>
      </c>
    </row>
    <row r="207" spans="1:11" x14ac:dyDescent="0.25">
      <c r="A207" s="2">
        <v>65000</v>
      </c>
      <c r="B207" s="25">
        <v>0.8</v>
      </c>
      <c r="C207" s="25">
        <v>0.6</v>
      </c>
      <c r="D207" s="25">
        <v>0.8</v>
      </c>
      <c r="E207" s="19">
        <v>2</v>
      </c>
      <c r="F207" s="8">
        <f>A207*B207*C207*(1-D207)*(1-Входы!$C$73)*E207*12</f>
        <v>137779.19999999995</v>
      </c>
      <c r="G207" s="8">
        <f>(Входы!$C$67-Входы!$C$68)*Входы!$C$8/Входы!$C$9*E207*12</f>
        <v>56078.00150002884</v>
      </c>
      <c r="H207" s="8">
        <f>Входы!$C$5*Входы!$C$71*B207*C207*(1-D207)*E207*12</f>
        <v>11519.999999999996</v>
      </c>
      <c r="I207" s="8">
        <f t="shared" si="6"/>
        <v>205377.20150002878</v>
      </c>
      <c r="J207" s="8">
        <f>I207-Входы!$C$75*12-Входы!$C$77-Входы!$C$78-Входы!$C$79*Входы!$C$8/Входы!$C$9</f>
        <v>-205853.68755552999</v>
      </c>
      <c r="K207" s="24" t="str">
        <f t="shared" si="7"/>
        <v>Да</v>
      </c>
    </row>
    <row r="208" spans="1:11" x14ac:dyDescent="0.25">
      <c r="A208" s="2">
        <v>65000</v>
      </c>
      <c r="B208" s="25">
        <v>0.8</v>
      </c>
      <c r="C208" s="25">
        <v>0.6</v>
      </c>
      <c r="D208" s="25">
        <v>0.8</v>
      </c>
      <c r="E208" s="19">
        <v>3</v>
      </c>
      <c r="F208" s="8">
        <f>A208*B208*C208*(1-D208)*(1-Входы!$C$73)*E208*12</f>
        <v>206668.79999999993</v>
      </c>
      <c r="G208" s="8">
        <f>(Входы!$C$67-Входы!$C$68)*Входы!$C$8/Входы!$C$9*E208*12</f>
        <v>84117.002250043268</v>
      </c>
      <c r="H208" s="8">
        <f>Входы!$C$5*Входы!$C$71*B208*C208*(1-D208)*E208*12</f>
        <v>17279.999999999993</v>
      </c>
      <c r="I208" s="8">
        <f t="shared" si="6"/>
        <v>308065.8022500432</v>
      </c>
      <c r="J208" s="8">
        <f>I208-Входы!$C$75*12-Входы!$C$77-Входы!$C$78-Входы!$C$79*Входы!$C$8/Входы!$C$9</f>
        <v>-103165.08680551556</v>
      </c>
      <c r="K208" s="24" t="str">
        <f t="shared" si="7"/>
        <v>Да</v>
      </c>
    </row>
    <row r="209" spans="1:11" x14ac:dyDescent="0.25">
      <c r="A209" s="2">
        <v>65000</v>
      </c>
      <c r="B209" s="25">
        <v>0.8</v>
      </c>
      <c r="C209" s="25">
        <v>0.6</v>
      </c>
      <c r="D209" s="25">
        <v>0.8</v>
      </c>
      <c r="E209" s="19">
        <v>4</v>
      </c>
      <c r="F209" s="8">
        <f>A209*B209*C209*(1-D209)*(1-Входы!$C$73)*E209*12</f>
        <v>275558.39999999991</v>
      </c>
      <c r="G209" s="8">
        <f>(Входы!$C$67-Входы!$C$68)*Входы!$C$8/Входы!$C$9*E209*12</f>
        <v>112156.00300005768</v>
      </c>
      <c r="H209" s="8">
        <f>Входы!$C$5*Входы!$C$71*B209*C209*(1-D209)*E209*12</f>
        <v>23039.999999999993</v>
      </c>
      <c r="I209" s="8">
        <f t="shared" si="6"/>
        <v>410754.40300005756</v>
      </c>
      <c r="J209" s="8">
        <f>I209-Входы!$C$75*12-Входы!$C$77-Входы!$C$78-Входы!$C$79*Входы!$C$8/Входы!$C$9</f>
        <v>-476.48605550120192</v>
      </c>
      <c r="K209" s="24" t="str">
        <f t="shared" si="7"/>
        <v>Да</v>
      </c>
    </row>
    <row r="210" spans="1:11" x14ac:dyDescent="0.25">
      <c r="A210" s="2">
        <v>65000</v>
      </c>
      <c r="B210" s="25">
        <v>0.8</v>
      </c>
      <c r="C210" s="25">
        <v>0.6</v>
      </c>
      <c r="D210" s="25">
        <v>0.98</v>
      </c>
      <c r="E210" s="19">
        <v>0</v>
      </c>
      <c r="F210" s="8">
        <f>A210*B210*C210*(1-D210)*(1-Входы!$C$73)*E210*12</f>
        <v>0</v>
      </c>
      <c r="G210" s="8">
        <f>(Входы!$C$67-Входы!$C$68)*Входы!$C$8/Входы!$C$9*E210*12</f>
        <v>0</v>
      </c>
      <c r="H210" s="8">
        <f>Входы!$C$5*Входы!$C$71*B210*C210*(1-D210)*E210*12</f>
        <v>0</v>
      </c>
      <c r="I210" s="8">
        <f t="shared" si="6"/>
        <v>0</v>
      </c>
      <c r="J210" s="8">
        <f>I210-Входы!$C$75*12-Входы!$C$77-Входы!$C$78-Входы!$C$79*Входы!$C$8/Входы!$C$9</f>
        <v>-411230.88905555877</v>
      </c>
      <c r="K210" s="24" t="str">
        <f t="shared" si="7"/>
        <v>Да</v>
      </c>
    </row>
    <row r="211" spans="1:11" x14ac:dyDescent="0.25">
      <c r="A211" s="2">
        <v>65000</v>
      </c>
      <c r="B211" s="25">
        <v>0.8</v>
      </c>
      <c r="C211" s="25">
        <v>0.6</v>
      </c>
      <c r="D211" s="25">
        <v>0.98</v>
      </c>
      <c r="E211" s="19">
        <v>1</v>
      </c>
      <c r="F211" s="8">
        <f>A211*B211*C211*(1-D211)*(1-Входы!$C$73)*E211*12</f>
        <v>6888.9600000000064</v>
      </c>
      <c r="G211" s="8">
        <f>(Входы!$C$67-Входы!$C$68)*Входы!$C$8/Входы!$C$9*E211*12</f>
        <v>28039.00075001442</v>
      </c>
      <c r="H211" s="8">
        <f>Входы!$C$5*Входы!$C$71*B211*C211*(1-D211)*E211*12</f>
        <v>576.00000000000045</v>
      </c>
      <c r="I211" s="8">
        <f t="shared" si="6"/>
        <v>35503.960750014427</v>
      </c>
      <c r="J211" s="8">
        <f>I211-Входы!$C$75*12-Входы!$C$77-Входы!$C$78-Входы!$C$79*Входы!$C$8/Входы!$C$9</f>
        <v>-375726.92830554437</v>
      </c>
      <c r="K211" s="24" t="str">
        <f t="shared" si="7"/>
        <v>Да</v>
      </c>
    </row>
    <row r="212" spans="1:11" x14ac:dyDescent="0.25">
      <c r="A212" s="2">
        <v>65000</v>
      </c>
      <c r="B212" s="25">
        <v>0.8</v>
      </c>
      <c r="C212" s="25">
        <v>0.6</v>
      </c>
      <c r="D212" s="25">
        <v>0.98</v>
      </c>
      <c r="E212" s="19">
        <v>2</v>
      </c>
      <c r="F212" s="8">
        <f>A212*B212*C212*(1-D212)*(1-Входы!$C$73)*E212*12</f>
        <v>13777.920000000013</v>
      </c>
      <c r="G212" s="8">
        <f>(Входы!$C$67-Входы!$C$68)*Входы!$C$8/Входы!$C$9*E212*12</f>
        <v>56078.00150002884</v>
      </c>
      <c r="H212" s="8">
        <f>Входы!$C$5*Входы!$C$71*B212*C212*(1-D212)*E212*12</f>
        <v>1152.0000000000009</v>
      </c>
      <c r="I212" s="8">
        <f t="shared" si="6"/>
        <v>71007.921500028853</v>
      </c>
      <c r="J212" s="8">
        <f>I212-Входы!$C$75*12-Входы!$C$77-Входы!$C$78-Входы!$C$79*Входы!$C$8/Входы!$C$9</f>
        <v>-340222.9675555299</v>
      </c>
      <c r="K212" s="24" t="str">
        <f t="shared" si="7"/>
        <v>Да</v>
      </c>
    </row>
    <row r="213" spans="1:11" x14ac:dyDescent="0.25">
      <c r="A213" s="2">
        <v>65000</v>
      </c>
      <c r="B213" s="25">
        <v>0.8</v>
      </c>
      <c r="C213" s="25">
        <v>0.6</v>
      </c>
      <c r="D213" s="25">
        <v>0.98</v>
      </c>
      <c r="E213" s="19">
        <v>3</v>
      </c>
      <c r="F213" s="8">
        <f>A213*B213*C213*(1-D213)*(1-Входы!$C$73)*E213*12</f>
        <v>20666.880000000019</v>
      </c>
      <c r="G213" s="8">
        <f>(Входы!$C$67-Входы!$C$68)*Входы!$C$8/Входы!$C$9*E213*12</f>
        <v>84117.002250043268</v>
      </c>
      <c r="H213" s="8">
        <f>Входы!$C$5*Входы!$C$71*B213*C213*(1-D213)*E213*12</f>
        <v>1728.0000000000014</v>
      </c>
      <c r="I213" s="8">
        <f t="shared" si="6"/>
        <v>106511.88225004329</v>
      </c>
      <c r="J213" s="8">
        <f>I213-Входы!$C$75*12-Входы!$C$77-Входы!$C$78-Входы!$C$79*Входы!$C$8/Входы!$C$9</f>
        <v>-304719.0068055155</v>
      </c>
      <c r="K213" s="24" t="str">
        <f t="shared" si="7"/>
        <v>Да</v>
      </c>
    </row>
    <row r="214" spans="1:11" x14ac:dyDescent="0.25">
      <c r="A214" s="2">
        <v>65000</v>
      </c>
      <c r="B214" s="25">
        <v>0.8</v>
      </c>
      <c r="C214" s="25">
        <v>0.6</v>
      </c>
      <c r="D214" s="25">
        <v>0.98</v>
      </c>
      <c r="E214" s="19">
        <v>4</v>
      </c>
      <c r="F214" s="8">
        <f>A214*B214*C214*(1-D214)*(1-Входы!$C$73)*E214*12</f>
        <v>27555.840000000026</v>
      </c>
      <c r="G214" s="8">
        <f>(Входы!$C$67-Входы!$C$68)*Входы!$C$8/Входы!$C$9*E214*12</f>
        <v>112156.00300005768</v>
      </c>
      <c r="H214" s="8">
        <f>Входы!$C$5*Входы!$C$71*B214*C214*(1-D214)*E214*12</f>
        <v>2304.0000000000018</v>
      </c>
      <c r="I214" s="8">
        <f t="shared" si="6"/>
        <v>142015.84300005771</v>
      </c>
      <c r="J214" s="8">
        <f>I214-Входы!$C$75*12-Входы!$C$77-Входы!$C$78-Входы!$C$79*Входы!$C$8/Входы!$C$9</f>
        <v>-269215.04605550104</v>
      </c>
      <c r="K214" s="24" t="str">
        <f t="shared" si="7"/>
        <v>Да</v>
      </c>
    </row>
    <row r="215" spans="1:11" x14ac:dyDescent="0.25">
      <c r="A215" s="2">
        <v>65000</v>
      </c>
      <c r="B215" s="25">
        <v>0.8</v>
      </c>
      <c r="C215" s="25">
        <v>1</v>
      </c>
      <c r="D215" s="25">
        <v>0</v>
      </c>
      <c r="E215" s="19">
        <v>0</v>
      </c>
      <c r="F215" s="8">
        <f>A215*B215*C215*(1-D215)*(1-Входы!$C$73)*E215*12</f>
        <v>0</v>
      </c>
      <c r="G215" s="8">
        <f>(Входы!$C$67-Входы!$C$68)*Входы!$C$8/Входы!$C$9*E215*12</f>
        <v>0</v>
      </c>
      <c r="H215" s="8">
        <f>Входы!$C$5*Входы!$C$71*B215*C215*(1-D215)*E215*12</f>
        <v>0</v>
      </c>
      <c r="I215" s="8">
        <f t="shared" si="6"/>
        <v>0</v>
      </c>
      <c r="J215" s="8">
        <f>I215-Входы!$C$75*12-Входы!$C$77-Входы!$C$78-Входы!$C$79*Входы!$C$8/Входы!$C$9</f>
        <v>-411230.88905555877</v>
      </c>
      <c r="K215" s="24" t="str">
        <f t="shared" si="7"/>
        <v>Да</v>
      </c>
    </row>
    <row r="216" spans="1:11" x14ac:dyDescent="0.25">
      <c r="A216" s="2">
        <v>65000</v>
      </c>
      <c r="B216" s="25">
        <v>0.8</v>
      </c>
      <c r="C216" s="25">
        <v>1</v>
      </c>
      <c r="D216" s="25">
        <v>0</v>
      </c>
      <c r="E216" s="19">
        <v>1</v>
      </c>
      <c r="F216" s="8">
        <f>A216*B216*C216*(1-D216)*(1-Входы!$C$73)*E216*12</f>
        <v>574080</v>
      </c>
      <c r="G216" s="8">
        <f>(Входы!$C$67-Входы!$C$68)*Входы!$C$8/Входы!$C$9*E216*12</f>
        <v>28039.00075001442</v>
      </c>
      <c r="H216" s="8">
        <f>Входы!$C$5*Входы!$C$71*B216*C216*(1-D216)*E216*12</f>
        <v>48000</v>
      </c>
      <c r="I216" s="8">
        <f t="shared" si="6"/>
        <v>650119.00075001444</v>
      </c>
      <c r="J216" s="8">
        <f>I216-Входы!$C$75*12-Входы!$C$77-Входы!$C$78-Входы!$C$79*Входы!$C$8/Входы!$C$9</f>
        <v>238888.11169445567</v>
      </c>
      <c r="K216" s="24" t="str">
        <f t="shared" si="7"/>
        <v>Нет</v>
      </c>
    </row>
    <row r="217" spans="1:11" x14ac:dyDescent="0.25">
      <c r="A217" s="2">
        <v>65000</v>
      </c>
      <c r="B217" s="25">
        <v>0.8</v>
      </c>
      <c r="C217" s="25">
        <v>1</v>
      </c>
      <c r="D217" s="25">
        <v>0</v>
      </c>
      <c r="E217" s="19">
        <v>2</v>
      </c>
      <c r="F217" s="8">
        <f>A217*B217*C217*(1-D217)*(1-Входы!$C$73)*E217*12</f>
        <v>1148160</v>
      </c>
      <c r="G217" s="8">
        <f>(Входы!$C$67-Входы!$C$68)*Входы!$C$8/Входы!$C$9*E217*12</f>
        <v>56078.00150002884</v>
      </c>
      <c r="H217" s="8">
        <f>Входы!$C$5*Входы!$C$71*B217*C217*(1-D217)*E217*12</f>
        <v>96000</v>
      </c>
      <c r="I217" s="8">
        <f t="shared" si="6"/>
        <v>1300238.0015000289</v>
      </c>
      <c r="J217" s="8">
        <f>I217-Входы!$C$75*12-Входы!$C$77-Входы!$C$78-Входы!$C$79*Входы!$C$8/Входы!$C$9</f>
        <v>889007.11244447017</v>
      </c>
      <c r="K217" s="24" t="str">
        <f t="shared" si="7"/>
        <v>Нет</v>
      </c>
    </row>
    <row r="218" spans="1:11" x14ac:dyDescent="0.25">
      <c r="A218" s="2">
        <v>65000</v>
      </c>
      <c r="B218" s="25">
        <v>0.8</v>
      </c>
      <c r="C218" s="25">
        <v>1</v>
      </c>
      <c r="D218" s="25">
        <v>0</v>
      </c>
      <c r="E218" s="19">
        <v>3</v>
      </c>
      <c r="F218" s="8">
        <f>A218*B218*C218*(1-D218)*(1-Входы!$C$73)*E218*12</f>
        <v>1722240</v>
      </c>
      <c r="G218" s="8">
        <f>(Входы!$C$67-Входы!$C$68)*Входы!$C$8/Входы!$C$9*E218*12</f>
        <v>84117.002250043268</v>
      </c>
      <c r="H218" s="8">
        <f>Входы!$C$5*Входы!$C$71*B218*C218*(1-D218)*E218*12</f>
        <v>144000</v>
      </c>
      <c r="I218" s="8">
        <f t="shared" si="6"/>
        <v>1950357.0022500432</v>
      </c>
      <c r="J218" s="8">
        <f>I218-Входы!$C$75*12-Входы!$C$77-Входы!$C$78-Входы!$C$79*Входы!$C$8/Входы!$C$9</f>
        <v>1539126.1131944845</v>
      </c>
      <c r="K218" s="24" t="str">
        <f t="shared" si="7"/>
        <v>Нет</v>
      </c>
    </row>
    <row r="219" spans="1:11" x14ac:dyDescent="0.25">
      <c r="A219" s="2">
        <v>65000</v>
      </c>
      <c r="B219" s="25">
        <v>0.8</v>
      </c>
      <c r="C219" s="25">
        <v>1</v>
      </c>
      <c r="D219" s="25">
        <v>0</v>
      </c>
      <c r="E219" s="19">
        <v>4</v>
      </c>
      <c r="F219" s="8">
        <f>A219*B219*C219*(1-D219)*(1-Входы!$C$73)*E219*12</f>
        <v>2296320</v>
      </c>
      <c r="G219" s="8">
        <f>(Входы!$C$67-Входы!$C$68)*Входы!$C$8/Входы!$C$9*E219*12</f>
        <v>112156.00300005768</v>
      </c>
      <c r="H219" s="8">
        <f>Входы!$C$5*Входы!$C$71*B219*C219*(1-D219)*E219*12</f>
        <v>192000</v>
      </c>
      <c r="I219" s="8">
        <f t="shared" si="6"/>
        <v>2600476.0030000578</v>
      </c>
      <c r="J219" s="8">
        <f>I219-Входы!$C$75*12-Входы!$C$77-Входы!$C$78-Входы!$C$79*Входы!$C$8/Входы!$C$9</f>
        <v>2189245.1139444988</v>
      </c>
      <c r="K219" s="24" t="str">
        <f t="shared" si="7"/>
        <v>Нет</v>
      </c>
    </row>
    <row r="220" spans="1:11" x14ac:dyDescent="0.25">
      <c r="A220" s="2">
        <v>65000</v>
      </c>
      <c r="B220" s="25">
        <v>0.8</v>
      </c>
      <c r="C220" s="25">
        <v>1</v>
      </c>
      <c r="D220" s="25">
        <v>0.8</v>
      </c>
      <c r="E220" s="19">
        <v>0</v>
      </c>
      <c r="F220" s="8">
        <f>A220*B220*C220*(1-D220)*(1-Входы!$C$73)*E220*12</f>
        <v>0</v>
      </c>
      <c r="G220" s="8">
        <f>(Входы!$C$67-Входы!$C$68)*Входы!$C$8/Входы!$C$9*E220*12</f>
        <v>0</v>
      </c>
      <c r="H220" s="8">
        <f>Входы!$C$5*Входы!$C$71*B220*C220*(1-D220)*E220*12</f>
        <v>0</v>
      </c>
      <c r="I220" s="8">
        <f t="shared" si="6"/>
        <v>0</v>
      </c>
      <c r="J220" s="8">
        <f>I220-Входы!$C$75*12-Входы!$C$77-Входы!$C$78-Входы!$C$79*Входы!$C$8/Входы!$C$9</f>
        <v>-411230.88905555877</v>
      </c>
      <c r="K220" s="24" t="str">
        <f t="shared" si="7"/>
        <v>Да</v>
      </c>
    </row>
    <row r="221" spans="1:11" x14ac:dyDescent="0.25">
      <c r="A221" s="2">
        <v>65000</v>
      </c>
      <c r="B221" s="25">
        <v>0.8</v>
      </c>
      <c r="C221" s="25">
        <v>1</v>
      </c>
      <c r="D221" s="25">
        <v>0.8</v>
      </c>
      <c r="E221" s="19">
        <v>1</v>
      </c>
      <c r="F221" s="8">
        <f>A221*B221*C221*(1-D221)*(1-Входы!$C$73)*E221*12</f>
        <v>114815.99999999997</v>
      </c>
      <c r="G221" s="8">
        <f>(Входы!$C$67-Входы!$C$68)*Входы!$C$8/Входы!$C$9*E221*12</f>
        <v>28039.00075001442</v>
      </c>
      <c r="H221" s="8">
        <f>Входы!$C$5*Входы!$C$71*B221*C221*(1-D221)*E221*12</f>
        <v>9599.9999999999964</v>
      </c>
      <c r="I221" s="8">
        <f t="shared" si="6"/>
        <v>152455.00075001438</v>
      </c>
      <c r="J221" s="8">
        <f>I221-Входы!$C$75*12-Входы!$C$77-Входы!$C$78-Входы!$C$79*Входы!$C$8/Входы!$C$9</f>
        <v>-258775.88830554439</v>
      </c>
      <c r="K221" s="24" t="str">
        <f t="shared" si="7"/>
        <v>Да</v>
      </c>
    </row>
    <row r="222" spans="1:11" x14ac:dyDescent="0.25">
      <c r="A222" s="2">
        <v>65000</v>
      </c>
      <c r="B222" s="25">
        <v>0.8</v>
      </c>
      <c r="C222" s="25">
        <v>1</v>
      </c>
      <c r="D222" s="25">
        <v>0.8</v>
      </c>
      <c r="E222" s="19">
        <v>2</v>
      </c>
      <c r="F222" s="8">
        <f>A222*B222*C222*(1-D222)*(1-Входы!$C$73)*E222*12</f>
        <v>229631.99999999994</v>
      </c>
      <c r="G222" s="8">
        <f>(Входы!$C$67-Входы!$C$68)*Входы!$C$8/Входы!$C$9*E222*12</f>
        <v>56078.00150002884</v>
      </c>
      <c r="H222" s="8">
        <f>Входы!$C$5*Входы!$C$71*B222*C222*(1-D222)*E222*12</f>
        <v>19199.999999999993</v>
      </c>
      <c r="I222" s="8">
        <f t="shared" si="6"/>
        <v>304910.00150002877</v>
      </c>
      <c r="J222" s="8">
        <f>I222-Входы!$C$75*12-Входы!$C$77-Входы!$C$78-Входы!$C$79*Входы!$C$8/Входы!$C$9</f>
        <v>-106320.88755552999</v>
      </c>
      <c r="K222" s="24" t="str">
        <f t="shared" si="7"/>
        <v>Да</v>
      </c>
    </row>
    <row r="223" spans="1:11" x14ac:dyDescent="0.25">
      <c r="A223" s="2">
        <v>65000</v>
      </c>
      <c r="B223" s="25">
        <v>0.8</v>
      </c>
      <c r="C223" s="25">
        <v>1</v>
      </c>
      <c r="D223" s="25">
        <v>0.8</v>
      </c>
      <c r="E223" s="19">
        <v>3</v>
      </c>
      <c r="F223" s="8">
        <f>A223*B223*C223*(1-D223)*(1-Входы!$C$73)*E223*12</f>
        <v>344447.99999999988</v>
      </c>
      <c r="G223" s="8">
        <f>(Входы!$C$67-Входы!$C$68)*Входы!$C$8/Входы!$C$9*E223*12</f>
        <v>84117.002250043268</v>
      </c>
      <c r="H223" s="8">
        <f>Входы!$C$5*Входы!$C$71*B223*C223*(1-D223)*E223*12</f>
        <v>28799.999999999989</v>
      </c>
      <c r="I223" s="8">
        <f t="shared" si="6"/>
        <v>457365.00225004315</v>
      </c>
      <c r="J223" s="8">
        <f>I223-Входы!$C$75*12-Входы!$C$77-Входы!$C$78-Входы!$C$79*Входы!$C$8/Входы!$C$9</f>
        <v>46134.113194484395</v>
      </c>
      <c r="K223" s="24" t="str">
        <f t="shared" si="7"/>
        <v>Нет</v>
      </c>
    </row>
    <row r="224" spans="1:11" x14ac:dyDescent="0.25">
      <c r="A224" s="2">
        <v>65000</v>
      </c>
      <c r="B224" s="25">
        <v>0.8</v>
      </c>
      <c r="C224" s="25">
        <v>1</v>
      </c>
      <c r="D224" s="25">
        <v>0.8</v>
      </c>
      <c r="E224" s="19">
        <v>4</v>
      </c>
      <c r="F224" s="8">
        <f>A224*B224*C224*(1-D224)*(1-Входы!$C$73)*E224*12</f>
        <v>459263.99999999988</v>
      </c>
      <c r="G224" s="8">
        <f>(Входы!$C$67-Входы!$C$68)*Входы!$C$8/Входы!$C$9*E224*12</f>
        <v>112156.00300005768</v>
      </c>
      <c r="H224" s="8">
        <f>Входы!$C$5*Входы!$C$71*B224*C224*(1-D224)*E224*12</f>
        <v>38399.999999999985</v>
      </c>
      <c r="I224" s="8">
        <f t="shared" si="6"/>
        <v>609820.00300005754</v>
      </c>
      <c r="J224" s="8">
        <f>I224-Входы!$C$75*12-Входы!$C$77-Входы!$C$78-Входы!$C$79*Входы!$C$8/Входы!$C$9</f>
        <v>198589.11394449876</v>
      </c>
      <c r="K224" s="24" t="str">
        <f t="shared" si="7"/>
        <v>Нет</v>
      </c>
    </row>
    <row r="225" spans="1:11" x14ac:dyDescent="0.25">
      <c r="A225" s="2">
        <v>65000</v>
      </c>
      <c r="B225" s="25">
        <v>0.8</v>
      </c>
      <c r="C225" s="25">
        <v>1</v>
      </c>
      <c r="D225" s="25">
        <v>0.98</v>
      </c>
      <c r="E225" s="19">
        <v>0</v>
      </c>
      <c r="F225" s="8">
        <f>A225*B225*C225*(1-D225)*(1-Входы!$C$73)*E225*12</f>
        <v>0</v>
      </c>
      <c r="G225" s="8">
        <f>(Входы!$C$67-Входы!$C$68)*Входы!$C$8/Входы!$C$9*E225*12</f>
        <v>0</v>
      </c>
      <c r="H225" s="8">
        <f>Входы!$C$5*Входы!$C$71*B225*C225*(1-D225)*E225*12</f>
        <v>0</v>
      </c>
      <c r="I225" s="8">
        <f t="shared" si="6"/>
        <v>0</v>
      </c>
      <c r="J225" s="8">
        <f>I225-Входы!$C$75*12-Входы!$C$77-Входы!$C$78-Входы!$C$79*Входы!$C$8/Входы!$C$9</f>
        <v>-411230.88905555877</v>
      </c>
      <c r="K225" s="24" t="str">
        <f t="shared" si="7"/>
        <v>Да</v>
      </c>
    </row>
    <row r="226" spans="1:11" x14ac:dyDescent="0.25">
      <c r="A226" s="2">
        <v>65000</v>
      </c>
      <c r="B226" s="25">
        <v>0.8</v>
      </c>
      <c r="C226" s="25">
        <v>1</v>
      </c>
      <c r="D226" s="25">
        <v>0.98</v>
      </c>
      <c r="E226" s="19">
        <v>1</v>
      </c>
      <c r="F226" s="8">
        <f>A226*B226*C226*(1-D226)*(1-Входы!$C$73)*E226*12</f>
        <v>11481.600000000009</v>
      </c>
      <c r="G226" s="8">
        <f>(Входы!$C$67-Входы!$C$68)*Входы!$C$8/Входы!$C$9*E226*12</f>
        <v>28039.00075001442</v>
      </c>
      <c r="H226" s="8">
        <f>Входы!$C$5*Входы!$C$71*B226*C226*(1-D226)*E226*12</f>
        <v>960.00000000000091</v>
      </c>
      <c r="I226" s="8">
        <f t="shared" si="6"/>
        <v>40480.600750014433</v>
      </c>
      <c r="J226" s="8">
        <f>I226-Входы!$C$75*12-Входы!$C$77-Входы!$C$78-Входы!$C$79*Входы!$C$8/Входы!$C$9</f>
        <v>-370750.28830554435</v>
      </c>
      <c r="K226" s="24" t="str">
        <f t="shared" si="7"/>
        <v>Да</v>
      </c>
    </row>
    <row r="227" spans="1:11" x14ac:dyDescent="0.25">
      <c r="A227" s="2">
        <v>65000</v>
      </c>
      <c r="B227" s="25">
        <v>0.8</v>
      </c>
      <c r="C227" s="25">
        <v>1</v>
      </c>
      <c r="D227" s="25">
        <v>0.98</v>
      </c>
      <c r="E227" s="19">
        <v>2</v>
      </c>
      <c r="F227" s="8">
        <f>A227*B227*C227*(1-D227)*(1-Входы!$C$73)*E227*12</f>
        <v>22963.200000000019</v>
      </c>
      <c r="G227" s="8">
        <f>(Входы!$C$67-Входы!$C$68)*Входы!$C$8/Входы!$C$9*E227*12</f>
        <v>56078.00150002884</v>
      </c>
      <c r="H227" s="8">
        <f>Входы!$C$5*Входы!$C$71*B227*C227*(1-D227)*E227*12</f>
        <v>1920.0000000000018</v>
      </c>
      <c r="I227" s="8">
        <f t="shared" si="6"/>
        <v>80961.201500028867</v>
      </c>
      <c r="J227" s="8">
        <f>I227-Входы!$C$75*12-Входы!$C$77-Входы!$C$78-Входы!$C$79*Входы!$C$8/Входы!$C$9</f>
        <v>-330269.68755552993</v>
      </c>
      <c r="K227" s="24" t="str">
        <f t="shared" si="7"/>
        <v>Да</v>
      </c>
    </row>
    <row r="228" spans="1:11" x14ac:dyDescent="0.25">
      <c r="A228" s="2">
        <v>65000</v>
      </c>
      <c r="B228" s="25">
        <v>0.8</v>
      </c>
      <c r="C228" s="25">
        <v>1</v>
      </c>
      <c r="D228" s="25">
        <v>0.98</v>
      </c>
      <c r="E228" s="19">
        <v>3</v>
      </c>
      <c r="F228" s="8">
        <f>A228*B228*C228*(1-D228)*(1-Входы!$C$73)*E228*12</f>
        <v>34444.800000000032</v>
      </c>
      <c r="G228" s="8">
        <f>(Входы!$C$67-Входы!$C$68)*Входы!$C$8/Входы!$C$9*E228*12</f>
        <v>84117.002250043268</v>
      </c>
      <c r="H228" s="8">
        <f>Входы!$C$5*Входы!$C$71*B228*C228*(1-D228)*E228*12</f>
        <v>2880.0000000000027</v>
      </c>
      <c r="I228" s="8">
        <f t="shared" si="6"/>
        <v>121441.8022500433</v>
      </c>
      <c r="J228" s="8">
        <f>I228-Входы!$C$75*12-Входы!$C$77-Входы!$C$78-Входы!$C$79*Входы!$C$8/Входы!$C$9</f>
        <v>-289789.08680551546</v>
      </c>
      <c r="K228" s="24" t="str">
        <f t="shared" si="7"/>
        <v>Да</v>
      </c>
    </row>
    <row r="229" spans="1:11" x14ac:dyDescent="0.25">
      <c r="A229" s="2">
        <v>65000</v>
      </c>
      <c r="B229" s="25">
        <v>0.8</v>
      </c>
      <c r="C229" s="25">
        <v>1</v>
      </c>
      <c r="D229" s="25">
        <v>0.98</v>
      </c>
      <c r="E229" s="19">
        <v>4</v>
      </c>
      <c r="F229" s="8">
        <f>A229*B229*C229*(1-D229)*(1-Входы!$C$73)*E229*12</f>
        <v>45926.400000000038</v>
      </c>
      <c r="G229" s="8">
        <f>(Входы!$C$67-Входы!$C$68)*Входы!$C$8/Входы!$C$9*E229*12</f>
        <v>112156.00300005768</v>
      </c>
      <c r="H229" s="8">
        <f>Входы!$C$5*Входы!$C$71*B229*C229*(1-D229)*E229*12</f>
        <v>3840.0000000000036</v>
      </c>
      <c r="I229" s="8">
        <f t="shared" si="6"/>
        <v>161922.40300005773</v>
      </c>
      <c r="J229" s="8">
        <f>I229-Входы!$C$75*12-Входы!$C$77-Входы!$C$78-Входы!$C$79*Входы!$C$8/Входы!$C$9</f>
        <v>-249308.48605550104</v>
      </c>
      <c r="K229" s="24" t="str">
        <f t="shared" si="7"/>
        <v>Да</v>
      </c>
    </row>
    <row r="230" spans="1:11" x14ac:dyDescent="0.25">
      <c r="A230" s="2">
        <v>65000</v>
      </c>
      <c r="B230" s="25">
        <v>1</v>
      </c>
      <c r="C230" s="25">
        <v>0.3</v>
      </c>
      <c r="D230" s="25">
        <v>0</v>
      </c>
      <c r="E230" s="19">
        <v>0</v>
      </c>
      <c r="F230" s="8">
        <f>A230*B230*C230*(1-D230)*(1-Входы!$C$73)*E230*12</f>
        <v>0</v>
      </c>
      <c r="G230" s="8">
        <f>(Входы!$C$67-Входы!$C$68)*Входы!$C$8/Входы!$C$9*E230*12</f>
        <v>0</v>
      </c>
      <c r="H230" s="8">
        <f>Входы!$C$5*Входы!$C$71*B230*C230*(1-D230)*E230*12</f>
        <v>0</v>
      </c>
      <c r="I230" s="8">
        <f t="shared" si="6"/>
        <v>0</v>
      </c>
      <c r="J230" s="8">
        <f>I230-Входы!$C$75*12-Входы!$C$77-Входы!$C$78-Входы!$C$79*Входы!$C$8/Входы!$C$9</f>
        <v>-411230.88905555877</v>
      </c>
      <c r="K230" s="24" t="str">
        <f t="shared" si="7"/>
        <v>Да</v>
      </c>
    </row>
    <row r="231" spans="1:11" x14ac:dyDescent="0.25">
      <c r="A231" s="2">
        <v>65000</v>
      </c>
      <c r="B231" s="25">
        <v>1</v>
      </c>
      <c r="C231" s="25">
        <v>0.3</v>
      </c>
      <c r="D231" s="25">
        <v>0</v>
      </c>
      <c r="E231" s="19">
        <v>1</v>
      </c>
      <c r="F231" s="8">
        <f>A231*B231*C231*(1-D231)*(1-Входы!$C$73)*E231*12</f>
        <v>215280</v>
      </c>
      <c r="G231" s="8">
        <f>(Входы!$C$67-Входы!$C$68)*Входы!$C$8/Входы!$C$9*E231*12</f>
        <v>28039.00075001442</v>
      </c>
      <c r="H231" s="8">
        <f>Входы!$C$5*Входы!$C$71*B231*C231*(1-D231)*E231*12</f>
        <v>18000</v>
      </c>
      <c r="I231" s="8">
        <f t="shared" si="6"/>
        <v>261319.00075001441</v>
      </c>
      <c r="J231" s="8">
        <f>I231-Входы!$C$75*12-Входы!$C$77-Входы!$C$78-Входы!$C$79*Входы!$C$8/Входы!$C$9</f>
        <v>-149911.88830554436</v>
      </c>
      <c r="K231" s="24" t="str">
        <f t="shared" si="7"/>
        <v>Да</v>
      </c>
    </row>
    <row r="232" spans="1:11" x14ac:dyDescent="0.25">
      <c r="A232" s="2">
        <v>65000</v>
      </c>
      <c r="B232" s="25">
        <v>1</v>
      </c>
      <c r="C232" s="25">
        <v>0.3</v>
      </c>
      <c r="D232" s="25">
        <v>0</v>
      </c>
      <c r="E232" s="19">
        <v>2</v>
      </c>
      <c r="F232" s="8">
        <f>A232*B232*C232*(1-D232)*(1-Входы!$C$73)*E232*12</f>
        <v>430560</v>
      </c>
      <c r="G232" s="8">
        <f>(Входы!$C$67-Входы!$C$68)*Входы!$C$8/Входы!$C$9*E232*12</f>
        <v>56078.00150002884</v>
      </c>
      <c r="H232" s="8">
        <f>Входы!$C$5*Входы!$C$71*B232*C232*(1-D232)*E232*12</f>
        <v>36000</v>
      </c>
      <c r="I232" s="8">
        <f t="shared" si="6"/>
        <v>522638.00150002883</v>
      </c>
      <c r="J232" s="8">
        <f>I232-Входы!$C$75*12-Входы!$C$77-Входы!$C$78-Входы!$C$79*Входы!$C$8/Входы!$C$9</f>
        <v>111407.11244447007</v>
      </c>
      <c r="K232" s="24" t="str">
        <f t="shared" si="7"/>
        <v>Нет</v>
      </c>
    </row>
    <row r="233" spans="1:11" x14ac:dyDescent="0.25">
      <c r="A233" s="2">
        <v>65000</v>
      </c>
      <c r="B233" s="25">
        <v>1</v>
      </c>
      <c r="C233" s="25">
        <v>0.3</v>
      </c>
      <c r="D233" s="25">
        <v>0</v>
      </c>
      <c r="E233" s="19">
        <v>3</v>
      </c>
      <c r="F233" s="8">
        <f>A233*B233*C233*(1-D233)*(1-Входы!$C$73)*E233*12</f>
        <v>645840</v>
      </c>
      <c r="G233" s="8">
        <f>(Входы!$C$67-Входы!$C$68)*Входы!$C$8/Входы!$C$9*E233*12</f>
        <v>84117.002250043268</v>
      </c>
      <c r="H233" s="8">
        <f>Входы!$C$5*Входы!$C$71*B233*C233*(1-D233)*E233*12</f>
        <v>54000</v>
      </c>
      <c r="I233" s="8">
        <f t="shared" si="6"/>
        <v>783957.00225004321</v>
      </c>
      <c r="J233" s="8">
        <f>I233-Входы!$C$75*12-Входы!$C$77-Входы!$C$78-Входы!$C$79*Входы!$C$8/Входы!$C$9</f>
        <v>372726.11319448444</v>
      </c>
      <c r="K233" s="24" t="str">
        <f t="shared" si="7"/>
        <v>Нет</v>
      </c>
    </row>
    <row r="234" spans="1:11" x14ac:dyDescent="0.25">
      <c r="A234" s="2">
        <v>65000</v>
      </c>
      <c r="B234" s="25">
        <v>1</v>
      </c>
      <c r="C234" s="25">
        <v>0.3</v>
      </c>
      <c r="D234" s="25">
        <v>0</v>
      </c>
      <c r="E234" s="19">
        <v>4</v>
      </c>
      <c r="F234" s="8">
        <f>A234*B234*C234*(1-D234)*(1-Входы!$C$73)*E234*12</f>
        <v>861120</v>
      </c>
      <c r="G234" s="8">
        <f>(Входы!$C$67-Входы!$C$68)*Входы!$C$8/Входы!$C$9*E234*12</f>
        <v>112156.00300005768</v>
      </c>
      <c r="H234" s="8">
        <f>Входы!$C$5*Входы!$C$71*B234*C234*(1-D234)*E234*12</f>
        <v>72000</v>
      </c>
      <c r="I234" s="8">
        <f t="shared" si="6"/>
        <v>1045276.0030000577</v>
      </c>
      <c r="J234" s="8">
        <f>I234-Входы!$C$75*12-Входы!$C$77-Входы!$C$78-Входы!$C$79*Входы!$C$8/Входы!$C$9</f>
        <v>634045.11394449894</v>
      </c>
      <c r="K234" s="24" t="str">
        <f t="shared" si="7"/>
        <v>Нет</v>
      </c>
    </row>
    <row r="235" spans="1:11" x14ac:dyDescent="0.25">
      <c r="A235" s="2">
        <v>65000</v>
      </c>
      <c r="B235" s="25">
        <v>1</v>
      </c>
      <c r="C235" s="25">
        <v>0.3</v>
      </c>
      <c r="D235" s="25">
        <v>0.8</v>
      </c>
      <c r="E235" s="19">
        <v>0</v>
      </c>
      <c r="F235" s="8">
        <f>A235*B235*C235*(1-D235)*(1-Входы!$C$73)*E235*12</f>
        <v>0</v>
      </c>
      <c r="G235" s="8">
        <f>(Входы!$C$67-Входы!$C$68)*Входы!$C$8/Входы!$C$9*E235*12</f>
        <v>0</v>
      </c>
      <c r="H235" s="8">
        <f>Входы!$C$5*Входы!$C$71*B235*C235*(1-D235)*E235*12</f>
        <v>0</v>
      </c>
      <c r="I235" s="8">
        <f t="shared" si="6"/>
        <v>0</v>
      </c>
      <c r="J235" s="8">
        <f>I235-Входы!$C$75*12-Входы!$C$77-Входы!$C$78-Входы!$C$79*Входы!$C$8/Входы!$C$9</f>
        <v>-411230.88905555877</v>
      </c>
      <c r="K235" s="24" t="str">
        <f t="shared" si="7"/>
        <v>Да</v>
      </c>
    </row>
    <row r="236" spans="1:11" x14ac:dyDescent="0.25">
      <c r="A236" s="2">
        <v>65000</v>
      </c>
      <c r="B236" s="25">
        <v>1</v>
      </c>
      <c r="C236" s="25">
        <v>0.3</v>
      </c>
      <c r="D236" s="25">
        <v>0.8</v>
      </c>
      <c r="E236" s="19">
        <v>1</v>
      </c>
      <c r="F236" s="8">
        <f>A236*B236*C236*(1-D236)*(1-Входы!$C$73)*E236*12</f>
        <v>43055.999999999993</v>
      </c>
      <c r="G236" s="8">
        <f>(Входы!$C$67-Входы!$C$68)*Входы!$C$8/Входы!$C$9*E236*12</f>
        <v>28039.00075001442</v>
      </c>
      <c r="H236" s="8">
        <f>Входы!$C$5*Входы!$C$71*B236*C236*(1-D236)*E236*12</f>
        <v>3599.9999999999991</v>
      </c>
      <c r="I236" s="8">
        <f t="shared" si="6"/>
        <v>74695.000750014413</v>
      </c>
      <c r="J236" s="8">
        <f>I236-Входы!$C$75*12-Входы!$C$77-Входы!$C$78-Входы!$C$79*Входы!$C$8/Входы!$C$9</f>
        <v>-336535.88830554433</v>
      </c>
      <c r="K236" s="24" t="str">
        <f t="shared" si="7"/>
        <v>Да</v>
      </c>
    </row>
    <row r="237" spans="1:11" x14ac:dyDescent="0.25">
      <c r="A237" s="2">
        <v>65000</v>
      </c>
      <c r="B237" s="25">
        <v>1</v>
      </c>
      <c r="C237" s="25">
        <v>0.3</v>
      </c>
      <c r="D237" s="25">
        <v>0.8</v>
      </c>
      <c r="E237" s="19">
        <v>2</v>
      </c>
      <c r="F237" s="8">
        <f>A237*B237*C237*(1-D237)*(1-Входы!$C$73)*E237*12</f>
        <v>86111.999999999985</v>
      </c>
      <c r="G237" s="8">
        <f>(Входы!$C$67-Входы!$C$68)*Входы!$C$8/Входы!$C$9*E237*12</f>
        <v>56078.00150002884</v>
      </c>
      <c r="H237" s="8">
        <f>Входы!$C$5*Входы!$C$71*B237*C237*(1-D237)*E237*12</f>
        <v>7199.9999999999982</v>
      </c>
      <c r="I237" s="8">
        <f t="shared" si="6"/>
        <v>149390.00150002883</v>
      </c>
      <c r="J237" s="8">
        <f>I237-Входы!$C$75*12-Входы!$C$77-Входы!$C$78-Входы!$C$79*Входы!$C$8/Входы!$C$9</f>
        <v>-261840.88755552995</v>
      </c>
      <c r="K237" s="24" t="str">
        <f t="shared" si="7"/>
        <v>Да</v>
      </c>
    </row>
    <row r="238" spans="1:11" x14ac:dyDescent="0.25">
      <c r="A238" s="2">
        <v>65000</v>
      </c>
      <c r="B238" s="25">
        <v>1</v>
      </c>
      <c r="C238" s="25">
        <v>0.3</v>
      </c>
      <c r="D238" s="25">
        <v>0.8</v>
      </c>
      <c r="E238" s="19">
        <v>3</v>
      </c>
      <c r="F238" s="8">
        <f>A238*B238*C238*(1-D238)*(1-Входы!$C$73)*E238*12</f>
        <v>129167.99999999997</v>
      </c>
      <c r="G238" s="8">
        <f>(Входы!$C$67-Входы!$C$68)*Входы!$C$8/Входы!$C$9*E238*12</f>
        <v>84117.002250043268</v>
      </c>
      <c r="H238" s="8">
        <f>Входы!$C$5*Входы!$C$71*B238*C238*(1-D238)*E238*12</f>
        <v>10799.999999999996</v>
      </c>
      <c r="I238" s="8">
        <f t="shared" si="6"/>
        <v>224085.00225004324</v>
      </c>
      <c r="J238" s="8">
        <f>I238-Входы!$C$75*12-Входы!$C$77-Входы!$C$78-Входы!$C$79*Входы!$C$8/Входы!$C$9</f>
        <v>-187145.88680551553</v>
      </c>
      <c r="K238" s="24" t="str">
        <f t="shared" si="7"/>
        <v>Да</v>
      </c>
    </row>
    <row r="239" spans="1:11" x14ac:dyDescent="0.25">
      <c r="A239" s="2">
        <v>65000</v>
      </c>
      <c r="B239" s="25">
        <v>1</v>
      </c>
      <c r="C239" s="25">
        <v>0.3</v>
      </c>
      <c r="D239" s="25">
        <v>0.8</v>
      </c>
      <c r="E239" s="19">
        <v>4</v>
      </c>
      <c r="F239" s="8">
        <f>A239*B239*C239*(1-D239)*(1-Входы!$C$73)*E239*12</f>
        <v>172223.99999999997</v>
      </c>
      <c r="G239" s="8">
        <f>(Входы!$C$67-Входы!$C$68)*Входы!$C$8/Входы!$C$9*E239*12</f>
        <v>112156.00300005768</v>
      </c>
      <c r="H239" s="8">
        <f>Входы!$C$5*Входы!$C$71*B239*C239*(1-D239)*E239*12</f>
        <v>14399.999999999996</v>
      </c>
      <c r="I239" s="8">
        <f t="shared" si="6"/>
        <v>298780.00300005765</v>
      </c>
      <c r="J239" s="8">
        <f>I239-Входы!$C$75*12-Входы!$C$77-Входы!$C$78-Входы!$C$79*Входы!$C$8/Входы!$C$9</f>
        <v>-112450.88605550111</v>
      </c>
      <c r="K239" s="24" t="str">
        <f t="shared" si="7"/>
        <v>Да</v>
      </c>
    </row>
    <row r="240" spans="1:11" x14ac:dyDescent="0.25">
      <c r="A240" s="2">
        <v>65000</v>
      </c>
      <c r="B240" s="25">
        <v>1</v>
      </c>
      <c r="C240" s="25">
        <v>0.3</v>
      </c>
      <c r="D240" s="25">
        <v>0.98</v>
      </c>
      <c r="E240" s="19">
        <v>0</v>
      </c>
      <c r="F240" s="8">
        <f>A240*B240*C240*(1-D240)*(1-Входы!$C$73)*E240*12</f>
        <v>0</v>
      </c>
      <c r="G240" s="8">
        <f>(Входы!$C$67-Входы!$C$68)*Входы!$C$8/Входы!$C$9*E240*12</f>
        <v>0</v>
      </c>
      <c r="H240" s="8">
        <f>Входы!$C$5*Входы!$C$71*B240*C240*(1-D240)*E240*12</f>
        <v>0</v>
      </c>
      <c r="I240" s="8">
        <f t="shared" si="6"/>
        <v>0</v>
      </c>
      <c r="J240" s="8">
        <f>I240-Входы!$C$75*12-Входы!$C$77-Входы!$C$78-Входы!$C$79*Входы!$C$8/Входы!$C$9</f>
        <v>-411230.88905555877</v>
      </c>
      <c r="K240" s="24" t="str">
        <f t="shared" si="7"/>
        <v>Да</v>
      </c>
    </row>
    <row r="241" spans="1:11" x14ac:dyDescent="0.25">
      <c r="A241" s="2">
        <v>65000</v>
      </c>
      <c r="B241" s="25">
        <v>1</v>
      </c>
      <c r="C241" s="25">
        <v>0.3</v>
      </c>
      <c r="D241" s="25">
        <v>0.98</v>
      </c>
      <c r="E241" s="19">
        <v>1</v>
      </c>
      <c r="F241" s="8">
        <f>A241*B241*C241*(1-D241)*(1-Входы!$C$73)*E241*12</f>
        <v>4305.600000000004</v>
      </c>
      <c r="G241" s="8">
        <f>(Входы!$C$67-Входы!$C$68)*Входы!$C$8/Входы!$C$9*E241*12</f>
        <v>28039.00075001442</v>
      </c>
      <c r="H241" s="8">
        <f>Входы!$C$5*Входы!$C$71*B241*C241*(1-D241)*E241*12</f>
        <v>360.00000000000034</v>
      </c>
      <c r="I241" s="8">
        <f t="shared" si="6"/>
        <v>32704.600750014426</v>
      </c>
      <c r="J241" s="8">
        <f>I241-Входы!$C$75*12-Входы!$C$77-Входы!$C$78-Входы!$C$79*Входы!$C$8/Входы!$C$9</f>
        <v>-378526.28830554435</v>
      </c>
      <c r="K241" s="24" t="str">
        <f t="shared" si="7"/>
        <v>Да</v>
      </c>
    </row>
    <row r="242" spans="1:11" x14ac:dyDescent="0.25">
      <c r="A242" s="2">
        <v>65000</v>
      </c>
      <c r="B242" s="25">
        <v>1</v>
      </c>
      <c r="C242" s="25">
        <v>0.3</v>
      </c>
      <c r="D242" s="25">
        <v>0.98</v>
      </c>
      <c r="E242" s="19">
        <v>2</v>
      </c>
      <c r="F242" s="8">
        <f>A242*B242*C242*(1-D242)*(1-Входы!$C$73)*E242*12</f>
        <v>8611.200000000008</v>
      </c>
      <c r="G242" s="8">
        <f>(Входы!$C$67-Входы!$C$68)*Входы!$C$8/Входы!$C$9*E242*12</f>
        <v>56078.00150002884</v>
      </c>
      <c r="H242" s="8">
        <f>Входы!$C$5*Входы!$C$71*B242*C242*(1-D242)*E242*12</f>
        <v>720.00000000000068</v>
      </c>
      <c r="I242" s="8">
        <f t="shared" si="6"/>
        <v>65409.201500028852</v>
      </c>
      <c r="J242" s="8">
        <f>I242-Входы!$C$75*12-Входы!$C$77-Входы!$C$78-Входы!$C$79*Входы!$C$8/Входы!$C$9</f>
        <v>-345821.68755552993</v>
      </c>
      <c r="K242" s="24" t="str">
        <f t="shared" si="7"/>
        <v>Да</v>
      </c>
    </row>
    <row r="243" spans="1:11" x14ac:dyDescent="0.25">
      <c r="A243" s="2">
        <v>65000</v>
      </c>
      <c r="B243" s="25">
        <v>1</v>
      </c>
      <c r="C243" s="25">
        <v>0.3</v>
      </c>
      <c r="D243" s="25">
        <v>0.98</v>
      </c>
      <c r="E243" s="19">
        <v>3</v>
      </c>
      <c r="F243" s="8">
        <f>A243*B243*C243*(1-D243)*(1-Входы!$C$73)*E243*12</f>
        <v>12916.800000000012</v>
      </c>
      <c r="G243" s="8">
        <f>(Входы!$C$67-Входы!$C$68)*Входы!$C$8/Входы!$C$9*E243*12</f>
        <v>84117.002250043268</v>
      </c>
      <c r="H243" s="8">
        <f>Входы!$C$5*Входы!$C$71*B243*C243*(1-D243)*E243*12</f>
        <v>1080.0000000000009</v>
      </c>
      <c r="I243" s="8">
        <f t="shared" si="6"/>
        <v>98113.802250043285</v>
      </c>
      <c r="J243" s="8">
        <f>I243-Входы!$C$75*12-Входы!$C$77-Входы!$C$78-Входы!$C$79*Входы!$C$8/Входы!$C$9</f>
        <v>-313117.08680551552</v>
      </c>
      <c r="K243" s="24" t="str">
        <f t="shared" si="7"/>
        <v>Да</v>
      </c>
    </row>
    <row r="244" spans="1:11" x14ac:dyDescent="0.25">
      <c r="A244" s="2">
        <v>65000</v>
      </c>
      <c r="B244" s="25">
        <v>1</v>
      </c>
      <c r="C244" s="25">
        <v>0.3</v>
      </c>
      <c r="D244" s="25">
        <v>0.98</v>
      </c>
      <c r="E244" s="19">
        <v>4</v>
      </c>
      <c r="F244" s="8">
        <f>A244*B244*C244*(1-D244)*(1-Входы!$C$73)*E244*12</f>
        <v>17222.400000000016</v>
      </c>
      <c r="G244" s="8">
        <f>(Входы!$C$67-Входы!$C$68)*Входы!$C$8/Входы!$C$9*E244*12</f>
        <v>112156.00300005768</v>
      </c>
      <c r="H244" s="8">
        <f>Входы!$C$5*Входы!$C$71*B244*C244*(1-D244)*E244*12</f>
        <v>1440.0000000000014</v>
      </c>
      <c r="I244" s="8">
        <f t="shared" si="6"/>
        <v>130818.4030000577</v>
      </c>
      <c r="J244" s="8">
        <f>I244-Входы!$C$75*12-Входы!$C$77-Входы!$C$78-Входы!$C$79*Входы!$C$8/Входы!$C$9</f>
        <v>-280412.4860555011</v>
      </c>
      <c r="K244" s="24" t="str">
        <f t="shared" si="7"/>
        <v>Да</v>
      </c>
    </row>
    <row r="245" spans="1:11" x14ac:dyDescent="0.25">
      <c r="A245" s="2">
        <v>65000</v>
      </c>
      <c r="B245" s="25">
        <v>1</v>
      </c>
      <c r="C245" s="25">
        <v>0.6</v>
      </c>
      <c r="D245" s="25">
        <v>0</v>
      </c>
      <c r="E245" s="19">
        <v>0</v>
      </c>
      <c r="F245" s="8">
        <f>A245*B245*C245*(1-D245)*(1-Входы!$C$73)*E245*12</f>
        <v>0</v>
      </c>
      <c r="G245" s="8">
        <f>(Входы!$C$67-Входы!$C$68)*Входы!$C$8/Входы!$C$9*E245*12</f>
        <v>0</v>
      </c>
      <c r="H245" s="8">
        <f>Входы!$C$5*Входы!$C$71*B245*C245*(1-D245)*E245*12</f>
        <v>0</v>
      </c>
      <c r="I245" s="8">
        <f t="shared" si="6"/>
        <v>0</v>
      </c>
      <c r="J245" s="8">
        <f>I245-Входы!$C$75*12-Входы!$C$77-Входы!$C$78-Входы!$C$79*Входы!$C$8/Входы!$C$9</f>
        <v>-411230.88905555877</v>
      </c>
      <c r="K245" s="24" t="str">
        <f t="shared" si="7"/>
        <v>Да</v>
      </c>
    </row>
    <row r="246" spans="1:11" x14ac:dyDescent="0.25">
      <c r="A246" s="2">
        <v>65000</v>
      </c>
      <c r="B246" s="25">
        <v>1</v>
      </c>
      <c r="C246" s="25">
        <v>0.6</v>
      </c>
      <c r="D246" s="25">
        <v>0</v>
      </c>
      <c r="E246" s="19">
        <v>1</v>
      </c>
      <c r="F246" s="8">
        <f>A246*B246*C246*(1-D246)*(1-Входы!$C$73)*E246*12</f>
        <v>430560</v>
      </c>
      <c r="G246" s="8">
        <f>(Входы!$C$67-Входы!$C$68)*Входы!$C$8/Входы!$C$9*E246*12</f>
        <v>28039.00075001442</v>
      </c>
      <c r="H246" s="8">
        <f>Входы!$C$5*Входы!$C$71*B246*C246*(1-D246)*E246*12</f>
        <v>36000</v>
      </c>
      <c r="I246" s="8">
        <f t="shared" si="6"/>
        <v>494599.00075001444</v>
      </c>
      <c r="J246" s="8">
        <f>I246-Входы!$C$75*12-Входы!$C$77-Входы!$C$78-Входы!$C$79*Входы!$C$8/Входы!$C$9</f>
        <v>83368.111694455685</v>
      </c>
      <c r="K246" s="24" t="str">
        <f t="shared" si="7"/>
        <v>Нет</v>
      </c>
    </row>
    <row r="247" spans="1:11" x14ac:dyDescent="0.25">
      <c r="A247" s="2">
        <v>65000</v>
      </c>
      <c r="B247" s="25">
        <v>1</v>
      </c>
      <c r="C247" s="25">
        <v>0.6</v>
      </c>
      <c r="D247" s="25">
        <v>0</v>
      </c>
      <c r="E247" s="19">
        <v>2</v>
      </c>
      <c r="F247" s="8">
        <f>A247*B247*C247*(1-D247)*(1-Входы!$C$73)*E247*12</f>
        <v>861120</v>
      </c>
      <c r="G247" s="8">
        <f>(Входы!$C$67-Входы!$C$68)*Входы!$C$8/Входы!$C$9*E247*12</f>
        <v>56078.00150002884</v>
      </c>
      <c r="H247" s="8">
        <f>Входы!$C$5*Входы!$C$71*B247*C247*(1-D247)*E247*12</f>
        <v>72000</v>
      </c>
      <c r="I247" s="8">
        <f t="shared" si="6"/>
        <v>989198.00150002888</v>
      </c>
      <c r="J247" s="8">
        <f>I247-Входы!$C$75*12-Входы!$C$77-Входы!$C$78-Входы!$C$79*Входы!$C$8/Входы!$C$9</f>
        <v>577967.11244447017</v>
      </c>
      <c r="K247" s="24" t="str">
        <f t="shared" si="7"/>
        <v>Нет</v>
      </c>
    </row>
    <row r="248" spans="1:11" x14ac:dyDescent="0.25">
      <c r="A248" s="2">
        <v>65000</v>
      </c>
      <c r="B248" s="25">
        <v>1</v>
      </c>
      <c r="C248" s="25">
        <v>0.6</v>
      </c>
      <c r="D248" s="25">
        <v>0</v>
      </c>
      <c r="E248" s="19">
        <v>3</v>
      </c>
      <c r="F248" s="8">
        <f>A248*B248*C248*(1-D248)*(1-Входы!$C$73)*E248*12</f>
        <v>1291680</v>
      </c>
      <c r="G248" s="8">
        <f>(Входы!$C$67-Входы!$C$68)*Входы!$C$8/Входы!$C$9*E248*12</f>
        <v>84117.002250043268</v>
      </c>
      <c r="H248" s="8">
        <f>Входы!$C$5*Входы!$C$71*B248*C248*(1-D248)*E248*12</f>
        <v>108000</v>
      </c>
      <c r="I248" s="8">
        <f t="shared" si="6"/>
        <v>1483797.0022500432</v>
      </c>
      <c r="J248" s="8">
        <f>I248-Входы!$C$75*12-Входы!$C$77-Входы!$C$78-Входы!$C$79*Входы!$C$8/Входы!$C$9</f>
        <v>1072566.1131944845</v>
      </c>
      <c r="K248" s="24" t="str">
        <f t="shared" si="7"/>
        <v>Нет</v>
      </c>
    </row>
    <row r="249" spans="1:11" x14ac:dyDescent="0.25">
      <c r="A249" s="2">
        <v>65000</v>
      </c>
      <c r="B249" s="25">
        <v>1</v>
      </c>
      <c r="C249" s="25">
        <v>0.6</v>
      </c>
      <c r="D249" s="25">
        <v>0</v>
      </c>
      <c r="E249" s="19">
        <v>4</v>
      </c>
      <c r="F249" s="8">
        <f>A249*B249*C249*(1-D249)*(1-Входы!$C$73)*E249*12</f>
        <v>1722240</v>
      </c>
      <c r="G249" s="8">
        <f>(Входы!$C$67-Входы!$C$68)*Входы!$C$8/Входы!$C$9*E249*12</f>
        <v>112156.00300005768</v>
      </c>
      <c r="H249" s="8">
        <f>Входы!$C$5*Входы!$C$71*B249*C249*(1-D249)*E249*12</f>
        <v>144000</v>
      </c>
      <c r="I249" s="8">
        <f t="shared" si="6"/>
        <v>1978396.0030000578</v>
      </c>
      <c r="J249" s="8">
        <f>I249-Входы!$C$75*12-Входы!$C$77-Входы!$C$78-Входы!$C$79*Входы!$C$8/Входы!$C$9</f>
        <v>1567165.1139444991</v>
      </c>
      <c r="K249" s="24" t="str">
        <f t="shared" si="7"/>
        <v>Нет</v>
      </c>
    </row>
    <row r="250" spans="1:11" x14ac:dyDescent="0.25">
      <c r="A250" s="2">
        <v>65000</v>
      </c>
      <c r="B250" s="25">
        <v>1</v>
      </c>
      <c r="C250" s="25">
        <v>0.6</v>
      </c>
      <c r="D250" s="25">
        <v>0.8</v>
      </c>
      <c r="E250" s="19">
        <v>0</v>
      </c>
      <c r="F250" s="8">
        <f>A250*B250*C250*(1-D250)*(1-Входы!$C$73)*E250*12</f>
        <v>0</v>
      </c>
      <c r="G250" s="8">
        <f>(Входы!$C$67-Входы!$C$68)*Входы!$C$8/Входы!$C$9*E250*12</f>
        <v>0</v>
      </c>
      <c r="H250" s="8">
        <f>Входы!$C$5*Входы!$C$71*B250*C250*(1-D250)*E250*12</f>
        <v>0</v>
      </c>
      <c r="I250" s="8">
        <f t="shared" si="6"/>
        <v>0</v>
      </c>
      <c r="J250" s="8">
        <f>I250-Входы!$C$75*12-Входы!$C$77-Входы!$C$78-Входы!$C$79*Входы!$C$8/Входы!$C$9</f>
        <v>-411230.88905555877</v>
      </c>
      <c r="K250" s="24" t="str">
        <f t="shared" si="7"/>
        <v>Да</v>
      </c>
    </row>
    <row r="251" spans="1:11" x14ac:dyDescent="0.25">
      <c r="A251" s="2">
        <v>65000</v>
      </c>
      <c r="B251" s="25">
        <v>1</v>
      </c>
      <c r="C251" s="25">
        <v>0.6</v>
      </c>
      <c r="D251" s="25">
        <v>0.8</v>
      </c>
      <c r="E251" s="19">
        <v>1</v>
      </c>
      <c r="F251" s="8">
        <f>A251*B251*C251*(1-D251)*(1-Входы!$C$73)*E251*12</f>
        <v>86111.999999999985</v>
      </c>
      <c r="G251" s="8">
        <f>(Входы!$C$67-Входы!$C$68)*Входы!$C$8/Входы!$C$9*E251*12</f>
        <v>28039.00075001442</v>
      </c>
      <c r="H251" s="8">
        <f>Входы!$C$5*Входы!$C$71*B251*C251*(1-D251)*E251*12</f>
        <v>7199.9999999999982</v>
      </c>
      <c r="I251" s="8">
        <f t="shared" si="6"/>
        <v>121351.00075001441</v>
      </c>
      <c r="J251" s="8">
        <f>I251-Входы!$C$75*12-Входы!$C$77-Входы!$C$78-Входы!$C$79*Входы!$C$8/Входы!$C$9</f>
        <v>-289879.88830554433</v>
      </c>
      <c r="K251" s="24" t="str">
        <f t="shared" si="7"/>
        <v>Да</v>
      </c>
    </row>
    <row r="252" spans="1:11" x14ac:dyDescent="0.25">
      <c r="A252" s="2">
        <v>65000</v>
      </c>
      <c r="B252" s="25">
        <v>1</v>
      </c>
      <c r="C252" s="25">
        <v>0.6</v>
      </c>
      <c r="D252" s="25">
        <v>0.8</v>
      </c>
      <c r="E252" s="19">
        <v>2</v>
      </c>
      <c r="F252" s="8">
        <f>A252*B252*C252*(1-D252)*(1-Входы!$C$73)*E252*12</f>
        <v>172223.99999999997</v>
      </c>
      <c r="G252" s="8">
        <f>(Входы!$C$67-Входы!$C$68)*Входы!$C$8/Входы!$C$9*E252*12</f>
        <v>56078.00150002884</v>
      </c>
      <c r="H252" s="8">
        <f>Входы!$C$5*Входы!$C$71*B252*C252*(1-D252)*E252*12</f>
        <v>14399.999999999996</v>
      </c>
      <c r="I252" s="8">
        <f t="shared" si="6"/>
        <v>242702.00150002883</v>
      </c>
      <c r="J252" s="8">
        <f>I252-Входы!$C$75*12-Входы!$C$77-Входы!$C$78-Входы!$C$79*Входы!$C$8/Входы!$C$9</f>
        <v>-168528.88755552995</v>
      </c>
      <c r="K252" s="24" t="str">
        <f t="shared" si="7"/>
        <v>Да</v>
      </c>
    </row>
    <row r="253" spans="1:11" x14ac:dyDescent="0.25">
      <c r="A253" s="2">
        <v>65000</v>
      </c>
      <c r="B253" s="25">
        <v>1</v>
      </c>
      <c r="C253" s="25">
        <v>0.6</v>
      </c>
      <c r="D253" s="25">
        <v>0.8</v>
      </c>
      <c r="E253" s="19">
        <v>3</v>
      </c>
      <c r="F253" s="8">
        <f>A253*B253*C253*(1-D253)*(1-Входы!$C$73)*E253*12</f>
        <v>258335.99999999994</v>
      </c>
      <c r="G253" s="8">
        <f>(Входы!$C$67-Входы!$C$68)*Входы!$C$8/Входы!$C$9*E253*12</f>
        <v>84117.002250043268</v>
      </c>
      <c r="H253" s="8">
        <f>Входы!$C$5*Входы!$C$71*B253*C253*(1-D253)*E253*12</f>
        <v>21599.999999999993</v>
      </c>
      <c r="I253" s="8">
        <f t="shared" si="6"/>
        <v>364053.00225004321</v>
      </c>
      <c r="J253" s="8">
        <f>I253-Входы!$C$75*12-Входы!$C$77-Входы!$C$78-Входы!$C$79*Входы!$C$8/Входы!$C$9</f>
        <v>-47177.886805515547</v>
      </c>
      <c r="K253" s="24" t="str">
        <f t="shared" si="7"/>
        <v>Да</v>
      </c>
    </row>
    <row r="254" spans="1:11" x14ac:dyDescent="0.25">
      <c r="A254" s="2">
        <v>65000</v>
      </c>
      <c r="B254" s="25">
        <v>1</v>
      </c>
      <c r="C254" s="25">
        <v>0.6</v>
      </c>
      <c r="D254" s="25">
        <v>0.8</v>
      </c>
      <c r="E254" s="19">
        <v>4</v>
      </c>
      <c r="F254" s="8">
        <f>A254*B254*C254*(1-D254)*(1-Входы!$C$73)*E254*12</f>
        <v>344447.99999999994</v>
      </c>
      <c r="G254" s="8">
        <f>(Входы!$C$67-Входы!$C$68)*Входы!$C$8/Входы!$C$9*E254*12</f>
        <v>112156.00300005768</v>
      </c>
      <c r="H254" s="8">
        <f>Входы!$C$5*Входы!$C$71*B254*C254*(1-D254)*E254*12</f>
        <v>28799.999999999993</v>
      </c>
      <c r="I254" s="8">
        <f t="shared" si="6"/>
        <v>485404.00300005765</v>
      </c>
      <c r="J254" s="8">
        <f>I254-Входы!$C$75*12-Входы!$C$77-Входы!$C$78-Входы!$C$79*Входы!$C$8/Входы!$C$9</f>
        <v>74173.113944498895</v>
      </c>
      <c r="K254" s="24" t="str">
        <f t="shared" si="7"/>
        <v>Нет</v>
      </c>
    </row>
    <row r="255" spans="1:11" x14ac:dyDescent="0.25">
      <c r="A255" s="2">
        <v>65000</v>
      </c>
      <c r="B255" s="25">
        <v>1</v>
      </c>
      <c r="C255" s="25">
        <v>0.6</v>
      </c>
      <c r="D255" s="25">
        <v>0.98</v>
      </c>
      <c r="E255" s="19">
        <v>0</v>
      </c>
      <c r="F255" s="8">
        <f>A255*B255*C255*(1-D255)*(1-Входы!$C$73)*E255*12</f>
        <v>0</v>
      </c>
      <c r="G255" s="8">
        <f>(Входы!$C$67-Входы!$C$68)*Входы!$C$8/Входы!$C$9*E255*12</f>
        <v>0</v>
      </c>
      <c r="H255" s="8">
        <f>Входы!$C$5*Входы!$C$71*B255*C255*(1-D255)*E255*12</f>
        <v>0</v>
      </c>
      <c r="I255" s="8">
        <f t="shared" si="6"/>
        <v>0</v>
      </c>
      <c r="J255" s="8">
        <f>I255-Входы!$C$75*12-Входы!$C$77-Входы!$C$78-Входы!$C$79*Входы!$C$8/Входы!$C$9</f>
        <v>-411230.88905555877</v>
      </c>
      <c r="K255" s="24" t="str">
        <f t="shared" si="7"/>
        <v>Да</v>
      </c>
    </row>
    <row r="256" spans="1:11" x14ac:dyDescent="0.25">
      <c r="A256" s="2">
        <v>65000</v>
      </c>
      <c r="B256" s="25">
        <v>1</v>
      </c>
      <c r="C256" s="25">
        <v>0.6</v>
      </c>
      <c r="D256" s="25">
        <v>0.98</v>
      </c>
      <c r="E256" s="19">
        <v>1</v>
      </c>
      <c r="F256" s="8">
        <f>A256*B256*C256*(1-D256)*(1-Входы!$C$73)*E256*12</f>
        <v>8611.200000000008</v>
      </c>
      <c r="G256" s="8">
        <f>(Входы!$C$67-Входы!$C$68)*Входы!$C$8/Входы!$C$9*E256*12</f>
        <v>28039.00075001442</v>
      </c>
      <c r="H256" s="8">
        <f>Входы!$C$5*Входы!$C$71*B256*C256*(1-D256)*E256*12</f>
        <v>720.00000000000068</v>
      </c>
      <c r="I256" s="8">
        <f t="shared" si="6"/>
        <v>37370.200750014425</v>
      </c>
      <c r="J256" s="8">
        <f>I256-Входы!$C$75*12-Входы!$C$77-Входы!$C$78-Входы!$C$79*Входы!$C$8/Входы!$C$9</f>
        <v>-373860.68830554438</v>
      </c>
      <c r="K256" s="24" t="str">
        <f t="shared" si="7"/>
        <v>Да</v>
      </c>
    </row>
    <row r="257" spans="1:11" x14ac:dyDescent="0.25">
      <c r="A257" s="2">
        <v>65000</v>
      </c>
      <c r="B257" s="25">
        <v>1</v>
      </c>
      <c r="C257" s="25">
        <v>0.6</v>
      </c>
      <c r="D257" s="25">
        <v>0.98</v>
      </c>
      <c r="E257" s="19">
        <v>2</v>
      </c>
      <c r="F257" s="8">
        <f>A257*B257*C257*(1-D257)*(1-Входы!$C$73)*E257*12</f>
        <v>17222.400000000016</v>
      </c>
      <c r="G257" s="8">
        <f>(Входы!$C$67-Входы!$C$68)*Входы!$C$8/Входы!$C$9*E257*12</f>
        <v>56078.00150002884</v>
      </c>
      <c r="H257" s="8">
        <f>Входы!$C$5*Входы!$C$71*B257*C257*(1-D257)*E257*12</f>
        <v>1440.0000000000014</v>
      </c>
      <c r="I257" s="8">
        <f t="shared" si="6"/>
        <v>74740.401500028849</v>
      </c>
      <c r="J257" s="8">
        <f>I257-Входы!$C$75*12-Входы!$C$77-Входы!$C$78-Входы!$C$79*Входы!$C$8/Входы!$C$9</f>
        <v>-336490.48755552992</v>
      </c>
      <c r="K257" s="24" t="str">
        <f t="shared" si="7"/>
        <v>Да</v>
      </c>
    </row>
    <row r="258" spans="1:11" x14ac:dyDescent="0.25">
      <c r="A258" s="2">
        <v>65000</v>
      </c>
      <c r="B258" s="25">
        <v>1</v>
      </c>
      <c r="C258" s="25">
        <v>0.6</v>
      </c>
      <c r="D258" s="25">
        <v>0.98</v>
      </c>
      <c r="E258" s="19">
        <v>3</v>
      </c>
      <c r="F258" s="8">
        <f>A258*B258*C258*(1-D258)*(1-Входы!$C$73)*E258*12</f>
        <v>25833.600000000024</v>
      </c>
      <c r="G258" s="8">
        <f>(Входы!$C$67-Входы!$C$68)*Входы!$C$8/Входы!$C$9*E258*12</f>
        <v>84117.002250043268</v>
      </c>
      <c r="H258" s="8">
        <f>Входы!$C$5*Входы!$C$71*B258*C258*(1-D258)*E258*12</f>
        <v>2160.0000000000018</v>
      </c>
      <c r="I258" s="8">
        <f t="shared" si="6"/>
        <v>112110.60225004329</v>
      </c>
      <c r="J258" s="8">
        <f>I258-Входы!$C$75*12-Входы!$C$77-Входы!$C$78-Входы!$C$79*Входы!$C$8/Входы!$C$9</f>
        <v>-299120.28680551547</v>
      </c>
      <c r="K258" s="24" t="str">
        <f t="shared" si="7"/>
        <v>Да</v>
      </c>
    </row>
    <row r="259" spans="1:11" x14ac:dyDescent="0.25">
      <c r="A259" s="2">
        <v>65000</v>
      </c>
      <c r="B259" s="25">
        <v>1</v>
      </c>
      <c r="C259" s="25">
        <v>0.6</v>
      </c>
      <c r="D259" s="25">
        <v>0.98</v>
      </c>
      <c r="E259" s="19">
        <v>4</v>
      </c>
      <c r="F259" s="8">
        <f>A259*B259*C259*(1-D259)*(1-Входы!$C$73)*E259*12</f>
        <v>34444.800000000032</v>
      </c>
      <c r="G259" s="8">
        <f>(Входы!$C$67-Входы!$C$68)*Входы!$C$8/Входы!$C$9*E259*12</f>
        <v>112156.00300005768</v>
      </c>
      <c r="H259" s="8">
        <f>Входы!$C$5*Входы!$C$71*B259*C259*(1-D259)*E259*12</f>
        <v>2880.0000000000027</v>
      </c>
      <c r="I259" s="8">
        <f t="shared" si="6"/>
        <v>149480.8030000577</v>
      </c>
      <c r="J259" s="8">
        <f>I259-Входы!$C$75*12-Входы!$C$77-Входы!$C$78-Входы!$C$79*Входы!$C$8/Входы!$C$9</f>
        <v>-261750.08605550107</v>
      </c>
      <c r="K259" s="24" t="str">
        <f t="shared" si="7"/>
        <v>Да</v>
      </c>
    </row>
    <row r="260" spans="1:11" x14ac:dyDescent="0.25">
      <c r="A260" s="2">
        <v>65000</v>
      </c>
      <c r="B260" s="25">
        <v>1</v>
      </c>
      <c r="C260" s="25">
        <v>1</v>
      </c>
      <c r="D260" s="25">
        <v>0</v>
      </c>
      <c r="E260" s="19">
        <v>0</v>
      </c>
      <c r="F260" s="8">
        <f>A260*B260*C260*(1-D260)*(1-Входы!$C$73)*E260*12</f>
        <v>0</v>
      </c>
      <c r="G260" s="8">
        <f>(Входы!$C$67-Входы!$C$68)*Входы!$C$8/Входы!$C$9*E260*12</f>
        <v>0</v>
      </c>
      <c r="H260" s="8">
        <f>Входы!$C$5*Входы!$C$71*B260*C260*(1-D260)*E260*12</f>
        <v>0</v>
      </c>
      <c r="I260" s="8">
        <f t="shared" si="6"/>
        <v>0</v>
      </c>
      <c r="J260" s="8">
        <f>I260-Входы!$C$75*12-Входы!$C$77-Входы!$C$78-Входы!$C$79*Входы!$C$8/Входы!$C$9</f>
        <v>-411230.88905555877</v>
      </c>
      <c r="K260" s="24" t="str">
        <f t="shared" si="7"/>
        <v>Да</v>
      </c>
    </row>
    <row r="261" spans="1:11" x14ac:dyDescent="0.25">
      <c r="A261" s="2">
        <v>65000</v>
      </c>
      <c r="B261" s="25">
        <v>1</v>
      </c>
      <c r="C261" s="25">
        <v>1</v>
      </c>
      <c r="D261" s="25">
        <v>0</v>
      </c>
      <c r="E261" s="19">
        <v>1</v>
      </c>
      <c r="F261" s="8">
        <f>A261*B261*C261*(1-D261)*(1-Входы!$C$73)*E261*12</f>
        <v>717600</v>
      </c>
      <c r="G261" s="8">
        <f>(Входы!$C$67-Входы!$C$68)*Входы!$C$8/Входы!$C$9*E261*12</f>
        <v>28039.00075001442</v>
      </c>
      <c r="H261" s="8">
        <f>Входы!$C$5*Входы!$C$71*B261*C261*(1-D261)*E261*12</f>
        <v>60000</v>
      </c>
      <c r="I261" s="8">
        <f t="shared" ref="I261:I324" si="8">SUM(F261:H261)</f>
        <v>805639.00075001444</v>
      </c>
      <c r="J261" s="8">
        <f>I261-Входы!$C$75*12-Входы!$C$77-Входы!$C$78-Входы!$C$79*Входы!$C$8/Входы!$C$9</f>
        <v>394408.11169445567</v>
      </c>
      <c r="K261" s="24" t="str">
        <f t="shared" ref="K261:K324" si="9">IF(J261&lt;=0,"Да","Нет")</f>
        <v>Нет</v>
      </c>
    </row>
    <row r="262" spans="1:11" x14ac:dyDescent="0.25">
      <c r="A262" s="2">
        <v>65000</v>
      </c>
      <c r="B262" s="25">
        <v>1</v>
      </c>
      <c r="C262" s="25">
        <v>1</v>
      </c>
      <c r="D262" s="25">
        <v>0</v>
      </c>
      <c r="E262" s="19">
        <v>2</v>
      </c>
      <c r="F262" s="8">
        <f>A262*B262*C262*(1-D262)*(1-Входы!$C$73)*E262*12</f>
        <v>1435200</v>
      </c>
      <c r="G262" s="8">
        <f>(Входы!$C$67-Входы!$C$68)*Входы!$C$8/Входы!$C$9*E262*12</f>
        <v>56078.00150002884</v>
      </c>
      <c r="H262" s="8">
        <f>Входы!$C$5*Входы!$C$71*B262*C262*(1-D262)*E262*12</f>
        <v>120000</v>
      </c>
      <c r="I262" s="8">
        <f t="shared" si="8"/>
        <v>1611278.0015000289</v>
      </c>
      <c r="J262" s="8">
        <f>I262-Входы!$C$75*12-Входы!$C$77-Входы!$C$78-Входы!$C$79*Входы!$C$8/Входы!$C$9</f>
        <v>1200047.1124444702</v>
      </c>
      <c r="K262" s="24" t="str">
        <f t="shared" si="9"/>
        <v>Нет</v>
      </c>
    </row>
    <row r="263" spans="1:11" x14ac:dyDescent="0.25">
      <c r="A263" s="2">
        <v>65000</v>
      </c>
      <c r="B263" s="25">
        <v>1</v>
      </c>
      <c r="C263" s="25">
        <v>1</v>
      </c>
      <c r="D263" s="25">
        <v>0</v>
      </c>
      <c r="E263" s="19">
        <v>3</v>
      </c>
      <c r="F263" s="8">
        <f>A263*B263*C263*(1-D263)*(1-Входы!$C$73)*E263*12</f>
        <v>2152800</v>
      </c>
      <c r="G263" s="8">
        <f>(Входы!$C$67-Входы!$C$68)*Входы!$C$8/Входы!$C$9*E263*12</f>
        <v>84117.002250043268</v>
      </c>
      <c r="H263" s="8">
        <f>Входы!$C$5*Входы!$C$71*B263*C263*(1-D263)*E263*12</f>
        <v>180000</v>
      </c>
      <c r="I263" s="8">
        <f t="shared" si="8"/>
        <v>2416917.0022500432</v>
      </c>
      <c r="J263" s="8">
        <f>I263-Входы!$C$75*12-Входы!$C$77-Входы!$C$78-Входы!$C$79*Входы!$C$8/Входы!$C$9</f>
        <v>2005686.1131944845</v>
      </c>
      <c r="K263" s="24" t="str">
        <f t="shared" si="9"/>
        <v>Нет</v>
      </c>
    </row>
    <row r="264" spans="1:11" x14ac:dyDescent="0.25">
      <c r="A264" s="2">
        <v>65000</v>
      </c>
      <c r="B264" s="25">
        <v>1</v>
      </c>
      <c r="C264" s="25">
        <v>1</v>
      </c>
      <c r="D264" s="25">
        <v>0</v>
      </c>
      <c r="E264" s="19">
        <v>4</v>
      </c>
      <c r="F264" s="8">
        <f>A264*B264*C264*(1-D264)*(1-Входы!$C$73)*E264*12</f>
        <v>2870400</v>
      </c>
      <c r="G264" s="8">
        <f>(Входы!$C$67-Входы!$C$68)*Входы!$C$8/Входы!$C$9*E264*12</f>
        <v>112156.00300005768</v>
      </c>
      <c r="H264" s="8">
        <f>Входы!$C$5*Входы!$C$71*B264*C264*(1-D264)*E264*12</f>
        <v>240000</v>
      </c>
      <c r="I264" s="8">
        <f t="shared" si="8"/>
        <v>3222556.0030000578</v>
      </c>
      <c r="J264" s="8">
        <f>I264-Входы!$C$75*12-Входы!$C$77-Входы!$C$78-Входы!$C$79*Входы!$C$8/Входы!$C$9</f>
        <v>2811325.1139444988</v>
      </c>
      <c r="K264" s="24" t="str">
        <f t="shared" si="9"/>
        <v>Нет</v>
      </c>
    </row>
    <row r="265" spans="1:11" x14ac:dyDescent="0.25">
      <c r="A265" s="2">
        <v>65000</v>
      </c>
      <c r="B265" s="25">
        <v>1</v>
      </c>
      <c r="C265" s="25">
        <v>1</v>
      </c>
      <c r="D265" s="25">
        <v>0.8</v>
      </c>
      <c r="E265" s="19">
        <v>0</v>
      </c>
      <c r="F265" s="8">
        <f>A265*B265*C265*(1-D265)*(1-Входы!$C$73)*E265*12</f>
        <v>0</v>
      </c>
      <c r="G265" s="8">
        <f>(Входы!$C$67-Входы!$C$68)*Входы!$C$8/Входы!$C$9*E265*12</f>
        <v>0</v>
      </c>
      <c r="H265" s="8">
        <f>Входы!$C$5*Входы!$C$71*B265*C265*(1-D265)*E265*12</f>
        <v>0</v>
      </c>
      <c r="I265" s="8">
        <f t="shared" si="8"/>
        <v>0</v>
      </c>
      <c r="J265" s="8">
        <f>I265-Входы!$C$75*12-Входы!$C$77-Входы!$C$78-Входы!$C$79*Входы!$C$8/Входы!$C$9</f>
        <v>-411230.88905555877</v>
      </c>
      <c r="K265" s="24" t="str">
        <f t="shared" si="9"/>
        <v>Да</v>
      </c>
    </row>
    <row r="266" spans="1:11" x14ac:dyDescent="0.25">
      <c r="A266" s="2">
        <v>65000</v>
      </c>
      <c r="B266" s="25">
        <v>1</v>
      </c>
      <c r="C266" s="25">
        <v>1</v>
      </c>
      <c r="D266" s="25">
        <v>0.8</v>
      </c>
      <c r="E266" s="19">
        <v>1</v>
      </c>
      <c r="F266" s="8">
        <f>A266*B266*C266*(1-D266)*(1-Входы!$C$73)*E266*12</f>
        <v>143519.99999999994</v>
      </c>
      <c r="G266" s="8">
        <f>(Входы!$C$67-Входы!$C$68)*Входы!$C$8/Входы!$C$9*E266*12</f>
        <v>28039.00075001442</v>
      </c>
      <c r="H266" s="8">
        <f>Входы!$C$5*Входы!$C$71*B266*C266*(1-D266)*E266*12</f>
        <v>11999.999999999996</v>
      </c>
      <c r="I266" s="8">
        <f t="shared" si="8"/>
        <v>183559.00075001435</v>
      </c>
      <c r="J266" s="8">
        <f>I266-Входы!$C$75*12-Входы!$C$77-Входы!$C$78-Входы!$C$79*Входы!$C$8/Входы!$C$9</f>
        <v>-227671.88830554442</v>
      </c>
      <c r="K266" s="24" t="str">
        <f t="shared" si="9"/>
        <v>Да</v>
      </c>
    </row>
    <row r="267" spans="1:11" x14ac:dyDescent="0.25">
      <c r="A267" s="2">
        <v>65000</v>
      </c>
      <c r="B267" s="25">
        <v>1</v>
      </c>
      <c r="C267" s="25">
        <v>1</v>
      </c>
      <c r="D267" s="25">
        <v>0.8</v>
      </c>
      <c r="E267" s="19">
        <v>2</v>
      </c>
      <c r="F267" s="8">
        <f>A267*B267*C267*(1-D267)*(1-Входы!$C$73)*E267*12</f>
        <v>287039.99999999988</v>
      </c>
      <c r="G267" s="8">
        <f>(Входы!$C$67-Входы!$C$68)*Входы!$C$8/Входы!$C$9*E267*12</f>
        <v>56078.00150002884</v>
      </c>
      <c r="H267" s="8">
        <f>Входы!$C$5*Входы!$C$71*B267*C267*(1-D267)*E267*12</f>
        <v>23999.999999999993</v>
      </c>
      <c r="I267" s="8">
        <f t="shared" si="8"/>
        <v>367118.00150002871</v>
      </c>
      <c r="J267" s="8">
        <f>I267-Входы!$C$75*12-Входы!$C$77-Входы!$C$78-Входы!$C$79*Входы!$C$8/Входы!$C$9</f>
        <v>-44112.887555530047</v>
      </c>
      <c r="K267" s="24" t="str">
        <f t="shared" si="9"/>
        <v>Да</v>
      </c>
    </row>
    <row r="268" spans="1:11" x14ac:dyDescent="0.25">
      <c r="A268" s="2">
        <v>65000</v>
      </c>
      <c r="B268" s="25">
        <v>1</v>
      </c>
      <c r="C268" s="25">
        <v>1</v>
      </c>
      <c r="D268" s="25">
        <v>0.8</v>
      </c>
      <c r="E268" s="19">
        <v>3</v>
      </c>
      <c r="F268" s="8">
        <f>A268*B268*C268*(1-D268)*(1-Входы!$C$73)*E268*12</f>
        <v>430559.99999999983</v>
      </c>
      <c r="G268" s="8">
        <f>(Входы!$C$67-Входы!$C$68)*Входы!$C$8/Входы!$C$9*E268*12</f>
        <v>84117.002250043268</v>
      </c>
      <c r="H268" s="8">
        <f>Входы!$C$5*Входы!$C$71*B268*C268*(1-D268)*E268*12</f>
        <v>35999.999999999985</v>
      </c>
      <c r="I268" s="8">
        <f t="shared" si="8"/>
        <v>550677.00225004309</v>
      </c>
      <c r="J268" s="8">
        <f>I268-Входы!$C$75*12-Входы!$C$77-Входы!$C$78-Входы!$C$79*Входы!$C$8/Входы!$C$9</f>
        <v>139446.11319448432</v>
      </c>
      <c r="K268" s="24" t="str">
        <f t="shared" si="9"/>
        <v>Нет</v>
      </c>
    </row>
    <row r="269" spans="1:11" x14ac:dyDescent="0.25">
      <c r="A269" s="2">
        <v>65000</v>
      </c>
      <c r="B269" s="25">
        <v>1</v>
      </c>
      <c r="C269" s="25">
        <v>1</v>
      </c>
      <c r="D269" s="25">
        <v>0.8</v>
      </c>
      <c r="E269" s="19">
        <v>4</v>
      </c>
      <c r="F269" s="8">
        <f>A269*B269*C269*(1-D269)*(1-Входы!$C$73)*E269*12</f>
        <v>574079.99999999977</v>
      </c>
      <c r="G269" s="8">
        <f>(Входы!$C$67-Входы!$C$68)*Входы!$C$8/Входы!$C$9*E269*12</f>
        <v>112156.00300005768</v>
      </c>
      <c r="H269" s="8">
        <f>Входы!$C$5*Входы!$C$71*B269*C269*(1-D269)*E269*12</f>
        <v>47999.999999999985</v>
      </c>
      <c r="I269" s="8">
        <f t="shared" si="8"/>
        <v>734236.00300005742</v>
      </c>
      <c r="J269" s="8">
        <f>I269-Входы!$C$75*12-Входы!$C$77-Входы!$C$78-Входы!$C$79*Входы!$C$8/Входы!$C$9</f>
        <v>323005.11394449865</v>
      </c>
      <c r="K269" s="24" t="str">
        <f t="shared" si="9"/>
        <v>Нет</v>
      </c>
    </row>
    <row r="270" spans="1:11" x14ac:dyDescent="0.25">
      <c r="A270" s="2">
        <v>65000</v>
      </c>
      <c r="B270" s="25">
        <v>1</v>
      </c>
      <c r="C270" s="25">
        <v>1</v>
      </c>
      <c r="D270" s="25">
        <v>0.98</v>
      </c>
      <c r="E270" s="19">
        <v>0</v>
      </c>
      <c r="F270" s="8">
        <f>A270*B270*C270*(1-D270)*(1-Входы!$C$73)*E270*12</f>
        <v>0</v>
      </c>
      <c r="G270" s="8">
        <f>(Входы!$C$67-Входы!$C$68)*Входы!$C$8/Входы!$C$9*E270*12</f>
        <v>0</v>
      </c>
      <c r="H270" s="8">
        <f>Входы!$C$5*Входы!$C$71*B270*C270*(1-D270)*E270*12</f>
        <v>0</v>
      </c>
      <c r="I270" s="8">
        <f t="shared" si="8"/>
        <v>0</v>
      </c>
      <c r="J270" s="8">
        <f>I270-Входы!$C$75*12-Входы!$C$77-Входы!$C$78-Входы!$C$79*Входы!$C$8/Входы!$C$9</f>
        <v>-411230.88905555877</v>
      </c>
      <c r="K270" s="24" t="str">
        <f t="shared" si="9"/>
        <v>Да</v>
      </c>
    </row>
    <row r="271" spans="1:11" x14ac:dyDescent="0.25">
      <c r="A271" s="2">
        <v>65000</v>
      </c>
      <c r="B271" s="25">
        <v>1</v>
      </c>
      <c r="C271" s="25">
        <v>1</v>
      </c>
      <c r="D271" s="25">
        <v>0.98</v>
      </c>
      <c r="E271" s="19">
        <v>1</v>
      </c>
      <c r="F271" s="8">
        <f>A271*B271*C271*(1-D271)*(1-Входы!$C$73)*E271*12</f>
        <v>14352.000000000015</v>
      </c>
      <c r="G271" s="8">
        <f>(Входы!$C$67-Входы!$C$68)*Входы!$C$8/Входы!$C$9*E271*12</f>
        <v>28039.00075001442</v>
      </c>
      <c r="H271" s="8">
        <f>Входы!$C$5*Входы!$C$71*B271*C271*(1-D271)*E271*12</f>
        <v>1200.0000000000009</v>
      </c>
      <c r="I271" s="8">
        <f t="shared" si="8"/>
        <v>43591.000750014435</v>
      </c>
      <c r="J271" s="8">
        <f>I271-Входы!$C$75*12-Входы!$C$77-Входы!$C$78-Входы!$C$79*Входы!$C$8/Входы!$C$9</f>
        <v>-367639.88830554433</v>
      </c>
      <c r="K271" s="24" t="str">
        <f t="shared" si="9"/>
        <v>Да</v>
      </c>
    </row>
    <row r="272" spans="1:11" x14ac:dyDescent="0.25">
      <c r="A272" s="2">
        <v>65000</v>
      </c>
      <c r="B272" s="25">
        <v>1</v>
      </c>
      <c r="C272" s="25">
        <v>1</v>
      </c>
      <c r="D272" s="25">
        <v>0.98</v>
      </c>
      <c r="E272" s="19">
        <v>2</v>
      </c>
      <c r="F272" s="8">
        <f>A272*B272*C272*(1-D272)*(1-Входы!$C$73)*E272*12</f>
        <v>28704.000000000029</v>
      </c>
      <c r="G272" s="8">
        <f>(Входы!$C$67-Входы!$C$68)*Входы!$C$8/Входы!$C$9*E272*12</f>
        <v>56078.00150002884</v>
      </c>
      <c r="H272" s="8">
        <f>Входы!$C$5*Входы!$C$71*B272*C272*(1-D272)*E272*12</f>
        <v>2400.0000000000018</v>
      </c>
      <c r="I272" s="8">
        <f t="shared" si="8"/>
        <v>87182.001500028869</v>
      </c>
      <c r="J272" s="8">
        <f>I272-Входы!$C$75*12-Входы!$C$77-Входы!$C$78-Входы!$C$79*Входы!$C$8/Входы!$C$9</f>
        <v>-324048.88755552989</v>
      </c>
      <c r="K272" s="24" t="str">
        <f t="shared" si="9"/>
        <v>Да</v>
      </c>
    </row>
    <row r="273" spans="1:11" x14ac:dyDescent="0.25">
      <c r="A273" s="2">
        <v>65000</v>
      </c>
      <c r="B273" s="25">
        <v>1</v>
      </c>
      <c r="C273" s="25">
        <v>1</v>
      </c>
      <c r="D273" s="25">
        <v>0.98</v>
      </c>
      <c r="E273" s="19">
        <v>3</v>
      </c>
      <c r="F273" s="8">
        <f>A273*B273*C273*(1-D273)*(1-Входы!$C$73)*E273*12</f>
        <v>43056.000000000044</v>
      </c>
      <c r="G273" s="8">
        <f>(Входы!$C$67-Входы!$C$68)*Входы!$C$8/Входы!$C$9*E273*12</f>
        <v>84117.002250043268</v>
      </c>
      <c r="H273" s="8">
        <f>Входы!$C$5*Входы!$C$71*B273*C273*(1-D273)*E273*12</f>
        <v>3600.0000000000027</v>
      </c>
      <c r="I273" s="8">
        <f t="shared" si="8"/>
        <v>130773.00225004331</v>
      </c>
      <c r="J273" s="8">
        <f>I273-Входы!$C$75*12-Входы!$C$77-Входы!$C$78-Входы!$C$79*Входы!$C$8/Входы!$C$9</f>
        <v>-280457.88680551545</v>
      </c>
      <c r="K273" s="24" t="str">
        <f t="shared" si="9"/>
        <v>Да</v>
      </c>
    </row>
    <row r="274" spans="1:11" x14ac:dyDescent="0.25">
      <c r="A274" s="2">
        <v>65000</v>
      </c>
      <c r="B274" s="25">
        <v>1</v>
      </c>
      <c r="C274" s="25">
        <v>1</v>
      </c>
      <c r="D274" s="25">
        <v>0.98</v>
      </c>
      <c r="E274" s="19">
        <v>4</v>
      </c>
      <c r="F274" s="8">
        <f>A274*B274*C274*(1-D274)*(1-Входы!$C$73)*E274*12</f>
        <v>57408.000000000058</v>
      </c>
      <c r="G274" s="8">
        <f>(Входы!$C$67-Входы!$C$68)*Входы!$C$8/Входы!$C$9*E274*12</f>
        <v>112156.00300005768</v>
      </c>
      <c r="H274" s="8">
        <f>Входы!$C$5*Входы!$C$71*B274*C274*(1-D274)*E274*12</f>
        <v>4800.0000000000036</v>
      </c>
      <c r="I274" s="8">
        <f t="shared" si="8"/>
        <v>174364.00300005774</v>
      </c>
      <c r="J274" s="8">
        <f>I274-Входы!$C$75*12-Входы!$C$77-Входы!$C$78-Входы!$C$79*Входы!$C$8/Входы!$C$9</f>
        <v>-236866.88605550103</v>
      </c>
      <c r="K274" s="24" t="str">
        <f t="shared" si="9"/>
        <v>Да</v>
      </c>
    </row>
    <row r="275" spans="1:11" x14ac:dyDescent="0.25">
      <c r="A275" s="24">
        <f>Входы!$C$5*Входы!$C$6*Входы!$C$7</f>
        <v>222600</v>
      </c>
      <c r="B275" s="25">
        <v>0.5</v>
      </c>
      <c r="C275" s="25">
        <v>0.3</v>
      </c>
      <c r="D275" s="25">
        <v>0</v>
      </c>
      <c r="E275" s="19">
        <v>0</v>
      </c>
      <c r="F275" s="8">
        <f>A275*B275*C275*(1-D275)*(1-Входы!$C$73)*E275*12</f>
        <v>0</v>
      </c>
      <c r="G275" s="8">
        <f>(Входы!$C$67-Входы!$C$68)*Входы!$C$8/Входы!$C$9*E275*12</f>
        <v>0</v>
      </c>
      <c r="H275" s="8">
        <f>Входы!$C$5*Входы!$C$71*B275*C275*(1-D275)*E275*12</f>
        <v>0</v>
      </c>
      <c r="I275" s="8">
        <f t="shared" si="8"/>
        <v>0</v>
      </c>
      <c r="J275" s="8">
        <f>I275-Входы!$C$75*12-Входы!$C$77-Входы!$C$78-Входы!$C$79*Входы!$C$8/Входы!$C$9</f>
        <v>-411230.88905555877</v>
      </c>
      <c r="K275" s="24" t="str">
        <f t="shared" si="9"/>
        <v>Да</v>
      </c>
    </row>
    <row r="276" spans="1:11" x14ac:dyDescent="0.25">
      <c r="A276" s="24">
        <f>Входы!$C$5*Входы!$C$6*Входы!$C$7</f>
        <v>222600</v>
      </c>
      <c r="B276" s="25">
        <v>0.5</v>
      </c>
      <c r="C276" s="25">
        <v>0.3</v>
      </c>
      <c r="D276" s="25">
        <v>0</v>
      </c>
      <c r="E276" s="19">
        <v>1</v>
      </c>
      <c r="F276" s="8">
        <f>A276*B276*C276*(1-D276)*(1-Входы!$C$73)*E276*12</f>
        <v>368625.60000000003</v>
      </c>
      <c r="G276" s="8">
        <f>(Входы!$C$67-Входы!$C$68)*Входы!$C$8/Входы!$C$9*E276*12</f>
        <v>28039.00075001442</v>
      </c>
      <c r="H276" s="8">
        <f>Входы!$C$5*Входы!$C$71*B276*C276*(1-D276)*E276*12</f>
        <v>9000</v>
      </c>
      <c r="I276" s="8">
        <f t="shared" si="8"/>
        <v>405664.60075001448</v>
      </c>
      <c r="J276" s="8">
        <f>I276-Входы!$C$75*12-Входы!$C$77-Входы!$C$78-Входы!$C$79*Входы!$C$8/Входы!$C$9</f>
        <v>-5566.2883055442835</v>
      </c>
      <c r="K276" s="24" t="str">
        <f t="shared" si="9"/>
        <v>Да</v>
      </c>
    </row>
    <row r="277" spans="1:11" x14ac:dyDescent="0.25">
      <c r="A277" s="24">
        <f>Входы!$C$5*Входы!$C$6*Входы!$C$7</f>
        <v>222600</v>
      </c>
      <c r="B277" s="25">
        <v>0.5</v>
      </c>
      <c r="C277" s="25">
        <v>0.3</v>
      </c>
      <c r="D277" s="25">
        <v>0</v>
      </c>
      <c r="E277" s="19">
        <v>2</v>
      </c>
      <c r="F277" s="8">
        <f>A277*B277*C277*(1-D277)*(1-Входы!$C$73)*E277*12</f>
        <v>737251.20000000007</v>
      </c>
      <c r="G277" s="8">
        <f>(Входы!$C$67-Входы!$C$68)*Входы!$C$8/Входы!$C$9*E277*12</f>
        <v>56078.00150002884</v>
      </c>
      <c r="H277" s="8">
        <f>Входы!$C$5*Входы!$C$71*B277*C277*(1-D277)*E277*12</f>
        <v>18000</v>
      </c>
      <c r="I277" s="8">
        <f t="shared" si="8"/>
        <v>811329.20150002895</v>
      </c>
      <c r="J277" s="8">
        <f>I277-Входы!$C$75*12-Входы!$C$77-Входы!$C$78-Входы!$C$79*Входы!$C$8/Входы!$C$9</f>
        <v>400098.31244447018</v>
      </c>
      <c r="K277" s="24" t="str">
        <f t="shared" si="9"/>
        <v>Нет</v>
      </c>
    </row>
    <row r="278" spans="1:11" x14ac:dyDescent="0.25">
      <c r="A278" s="24">
        <f>Входы!$C$5*Входы!$C$6*Входы!$C$7</f>
        <v>222600</v>
      </c>
      <c r="B278" s="25">
        <v>0.5</v>
      </c>
      <c r="C278" s="25">
        <v>0.3</v>
      </c>
      <c r="D278" s="25">
        <v>0</v>
      </c>
      <c r="E278" s="19">
        <v>3</v>
      </c>
      <c r="F278" s="8">
        <f>A278*B278*C278*(1-D278)*(1-Входы!$C$73)*E278*12</f>
        <v>1105876.8</v>
      </c>
      <c r="G278" s="8">
        <f>(Входы!$C$67-Входы!$C$68)*Входы!$C$8/Входы!$C$9*E278*12</f>
        <v>84117.002250043268</v>
      </c>
      <c r="H278" s="8">
        <f>Входы!$C$5*Входы!$C$71*B278*C278*(1-D278)*E278*12</f>
        <v>27000</v>
      </c>
      <c r="I278" s="8">
        <f t="shared" si="8"/>
        <v>1216993.8022500433</v>
      </c>
      <c r="J278" s="8">
        <f>I278-Входы!$C$75*12-Входы!$C$77-Входы!$C$78-Входы!$C$79*Входы!$C$8/Входы!$C$9</f>
        <v>805762.91319448454</v>
      </c>
      <c r="K278" s="24" t="str">
        <f t="shared" si="9"/>
        <v>Нет</v>
      </c>
    </row>
    <row r="279" spans="1:11" x14ac:dyDescent="0.25">
      <c r="A279" s="24">
        <f>Входы!$C$5*Входы!$C$6*Входы!$C$7</f>
        <v>222600</v>
      </c>
      <c r="B279" s="25">
        <v>0.5</v>
      </c>
      <c r="C279" s="25">
        <v>0.3</v>
      </c>
      <c r="D279" s="25">
        <v>0</v>
      </c>
      <c r="E279" s="19">
        <v>4</v>
      </c>
      <c r="F279" s="8">
        <f>A279*B279*C279*(1-D279)*(1-Входы!$C$73)*E279*12</f>
        <v>1474502.4000000001</v>
      </c>
      <c r="G279" s="8">
        <f>(Входы!$C$67-Входы!$C$68)*Входы!$C$8/Входы!$C$9*E279*12</f>
        <v>112156.00300005768</v>
      </c>
      <c r="H279" s="8">
        <f>Входы!$C$5*Входы!$C$71*B279*C279*(1-D279)*E279*12</f>
        <v>36000</v>
      </c>
      <c r="I279" s="8">
        <f t="shared" si="8"/>
        <v>1622658.4030000579</v>
      </c>
      <c r="J279" s="8">
        <f>I279-Входы!$C$75*12-Входы!$C$77-Входы!$C$78-Входы!$C$79*Входы!$C$8/Входы!$C$9</f>
        <v>1211427.5139444992</v>
      </c>
      <c r="K279" s="24" t="str">
        <f t="shared" si="9"/>
        <v>Нет</v>
      </c>
    </row>
    <row r="280" spans="1:11" x14ac:dyDescent="0.25">
      <c r="A280" s="24">
        <f>Входы!$C$5*Входы!$C$6*Входы!$C$7</f>
        <v>222600</v>
      </c>
      <c r="B280" s="25">
        <v>0.5</v>
      </c>
      <c r="C280" s="25">
        <v>0.3</v>
      </c>
      <c r="D280" s="25">
        <v>0.8</v>
      </c>
      <c r="E280" s="19">
        <v>0</v>
      </c>
      <c r="F280" s="8">
        <f>A280*B280*C280*(1-D280)*(1-Входы!$C$73)*E280*12</f>
        <v>0</v>
      </c>
      <c r="G280" s="8">
        <f>(Входы!$C$67-Входы!$C$68)*Входы!$C$8/Входы!$C$9*E280*12</f>
        <v>0</v>
      </c>
      <c r="H280" s="8">
        <f>Входы!$C$5*Входы!$C$71*B280*C280*(1-D280)*E280*12</f>
        <v>0</v>
      </c>
      <c r="I280" s="8">
        <f t="shared" si="8"/>
        <v>0</v>
      </c>
      <c r="J280" s="8">
        <f>I280-Входы!$C$75*12-Входы!$C$77-Входы!$C$78-Входы!$C$79*Входы!$C$8/Входы!$C$9</f>
        <v>-411230.88905555877</v>
      </c>
      <c r="K280" s="24" t="str">
        <f t="shared" si="9"/>
        <v>Да</v>
      </c>
    </row>
    <row r="281" spans="1:11" x14ac:dyDescent="0.25">
      <c r="A281" s="24">
        <f>Входы!$C$5*Входы!$C$6*Входы!$C$7</f>
        <v>222600</v>
      </c>
      <c r="B281" s="25">
        <v>0.5</v>
      </c>
      <c r="C281" s="25">
        <v>0.3</v>
      </c>
      <c r="D281" s="25">
        <v>0.8</v>
      </c>
      <c r="E281" s="19">
        <v>1</v>
      </c>
      <c r="F281" s="8">
        <f>A281*B281*C281*(1-D281)*(1-Входы!$C$73)*E281*12</f>
        <v>73725.119999999981</v>
      </c>
      <c r="G281" s="8">
        <f>(Входы!$C$67-Входы!$C$68)*Входы!$C$8/Входы!$C$9*E281*12</f>
        <v>28039.00075001442</v>
      </c>
      <c r="H281" s="8">
        <f>Входы!$C$5*Входы!$C$71*B281*C281*(1-D281)*E281*12</f>
        <v>1799.9999999999995</v>
      </c>
      <c r="I281" s="8">
        <f t="shared" si="8"/>
        <v>103564.12075001441</v>
      </c>
      <c r="J281" s="8">
        <f>I281-Входы!$C$75*12-Входы!$C$77-Входы!$C$78-Входы!$C$79*Входы!$C$8/Входы!$C$9</f>
        <v>-307666.76830554433</v>
      </c>
      <c r="K281" s="24" t="str">
        <f t="shared" si="9"/>
        <v>Да</v>
      </c>
    </row>
    <row r="282" spans="1:11" x14ac:dyDescent="0.25">
      <c r="A282" s="24">
        <f>Входы!$C$5*Входы!$C$6*Входы!$C$7</f>
        <v>222600</v>
      </c>
      <c r="B282" s="25">
        <v>0.5</v>
      </c>
      <c r="C282" s="25">
        <v>0.3</v>
      </c>
      <c r="D282" s="25">
        <v>0.8</v>
      </c>
      <c r="E282" s="19">
        <v>2</v>
      </c>
      <c r="F282" s="8">
        <f>A282*B282*C282*(1-D282)*(1-Входы!$C$73)*E282*12</f>
        <v>147450.23999999996</v>
      </c>
      <c r="G282" s="8">
        <f>(Входы!$C$67-Входы!$C$68)*Входы!$C$8/Входы!$C$9*E282*12</f>
        <v>56078.00150002884</v>
      </c>
      <c r="H282" s="8">
        <f>Входы!$C$5*Входы!$C$71*B282*C282*(1-D282)*E282*12</f>
        <v>3599.9999999999991</v>
      </c>
      <c r="I282" s="8">
        <f t="shared" si="8"/>
        <v>207128.24150002882</v>
      </c>
      <c r="J282" s="8">
        <f>I282-Входы!$C$75*12-Входы!$C$77-Входы!$C$78-Входы!$C$79*Входы!$C$8/Входы!$C$9</f>
        <v>-204102.64755552995</v>
      </c>
      <c r="K282" s="24" t="str">
        <f t="shared" si="9"/>
        <v>Да</v>
      </c>
    </row>
    <row r="283" spans="1:11" x14ac:dyDescent="0.25">
      <c r="A283" s="24">
        <f>Входы!$C$5*Входы!$C$6*Входы!$C$7</f>
        <v>222600</v>
      </c>
      <c r="B283" s="25">
        <v>0.5</v>
      </c>
      <c r="C283" s="25">
        <v>0.3</v>
      </c>
      <c r="D283" s="25">
        <v>0.8</v>
      </c>
      <c r="E283" s="19">
        <v>3</v>
      </c>
      <c r="F283" s="8">
        <f>A283*B283*C283*(1-D283)*(1-Входы!$C$73)*E283*12</f>
        <v>221175.35999999993</v>
      </c>
      <c r="G283" s="8">
        <f>(Входы!$C$67-Входы!$C$68)*Входы!$C$8/Входы!$C$9*E283*12</f>
        <v>84117.002250043268</v>
      </c>
      <c r="H283" s="8">
        <f>Входы!$C$5*Входы!$C$71*B283*C283*(1-D283)*E283*12</f>
        <v>5399.9999999999982</v>
      </c>
      <c r="I283" s="8">
        <f t="shared" si="8"/>
        <v>310692.3622500432</v>
      </c>
      <c r="J283" s="8">
        <f>I283-Входы!$C$75*12-Входы!$C$77-Входы!$C$78-Входы!$C$79*Входы!$C$8/Входы!$C$9</f>
        <v>-100538.52680551556</v>
      </c>
      <c r="K283" s="24" t="str">
        <f t="shared" si="9"/>
        <v>Да</v>
      </c>
    </row>
    <row r="284" spans="1:11" x14ac:dyDescent="0.25">
      <c r="A284" s="24">
        <f>Входы!$C$5*Входы!$C$6*Входы!$C$7</f>
        <v>222600</v>
      </c>
      <c r="B284" s="25">
        <v>0.5</v>
      </c>
      <c r="C284" s="25">
        <v>0.3</v>
      </c>
      <c r="D284" s="25">
        <v>0.8</v>
      </c>
      <c r="E284" s="19">
        <v>4</v>
      </c>
      <c r="F284" s="8">
        <f>A284*B284*C284*(1-D284)*(1-Входы!$C$73)*E284*12</f>
        <v>294900.47999999992</v>
      </c>
      <c r="G284" s="8">
        <f>(Входы!$C$67-Входы!$C$68)*Входы!$C$8/Входы!$C$9*E284*12</f>
        <v>112156.00300005768</v>
      </c>
      <c r="H284" s="8">
        <f>Входы!$C$5*Входы!$C$71*B284*C284*(1-D284)*E284*12</f>
        <v>7199.9999999999982</v>
      </c>
      <c r="I284" s="8">
        <f t="shared" si="8"/>
        <v>414256.48300005763</v>
      </c>
      <c r="J284" s="8">
        <f>I284-Входы!$C$75*12-Входы!$C$77-Входы!$C$78-Входы!$C$79*Входы!$C$8/Входы!$C$9</f>
        <v>3025.5939444988726</v>
      </c>
      <c r="K284" s="24" t="str">
        <f t="shared" si="9"/>
        <v>Нет</v>
      </c>
    </row>
    <row r="285" spans="1:11" x14ac:dyDescent="0.25">
      <c r="A285" s="24">
        <f>Входы!$C$5*Входы!$C$6*Входы!$C$7</f>
        <v>222600</v>
      </c>
      <c r="B285" s="25">
        <v>0.5</v>
      </c>
      <c r="C285" s="25">
        <v>0.3</v>
      </c>
      <c r="D285" s="25">
        <v>0.98</v>
      </c>
      <c r="E285" s="19">
        <v>0</v>
      </c>
      <c r="F285" s="8">
        <f>A285*B285*C285*(1-D285)*(1-Входы!$C$73)*E285*12</f>
        <v>0</v>
      </c>
      <c r="G285" s="8">
        <f>(Входы!$C$67-Входы!$C$68)*Входы!$C$8/Входы!$C$9*E285*12</f>
        <v>0</v>
      </c>
      <c r="H285" s="8">
        <f>Входы!$C$5*Входы!$C$71*B285*C285*(1-D285)*E285*12</f>
        <v>0</v>
      </c>
      <c r="I285" s="8">
        <f t="shared" si="8"/>
        <v>0</v>
      </c>
      <c r="J285" s="8">
        <f>I285-Входы!$C$75*12-Входы!$C$77-Входы!$C$78-Входы!$C$79*Входы!$C$8/Входы!$C$9</f>
        <v>-411230.88905555877</v>
      </c>
      <c r="K285" s="24" t="str">
        <f t="shared" si="9"/>
        <v>Да</v>
      </c>
    </row>
    <row r="286" spans="1:11" x14ac:dyDescent="0.25">
      <c r="A286" s="24">
        <f>Входы!$C$5*Входы!$C$6*Входы!$C$7</f>
        <v>222600</v>
      </c>
      <c r="B286" s="25">
        <v>0.5</v>
      </c>
      <c r="C286" s="25">
        <v>0.3</v>
      </c>
      <c r="D286" s="25">
        <v>0.98</v>
      </c>
      <c r="E286" s="19">
        <v>1</v>
      </c>
      <c r="F286" s="8">
        <f>A286*B286*C286*(1-D286)*(1-Входы!$C$73)*E286*12</f>
        <v>7372.5120000000079</v>
      </c>
      <c r="G286" s="8">
        <f>(Входы!$C$67-Входы!$C$68)*Входы!$C$8/Входы!$C$9*E286*12</f>
        <v>28039.00075001442</v>
      </c>
      <c r="H286" s="8">
        <f>Входы!$C$5*Входы!$C$71*B286*C286*(1-D286)*E286*12</f>
        <v>180.00000000000017</v>
      </c>
      <c r="I286" s="8">
        <f t="shared" si="8"/>
        <v>35591.51275001443</v>
      </c>
      <c r="J286" s="8">
        <f>I286-Входы!$C$75*12-Входы!$C$77-Входы!$C$78-Входы!$C$79*Входы!$C$8/Входы!$C$9</f>
        <v>-375639.37630554434</v>
      </c>
      <c r="K286" s="24" t="str">
        <f t="shared" si="9"/>
        <v>Да</v>
      </c>
    </row>
    <row r="287" spans="1:11" x14ac:dyDescent="0.25">
      <c r="A287" s="24">
        <f>Входы!$C$5*Входы!$C$6*Входы!$C$7</f>
        <v>222600</v>
      </c>
      <c r="B287" s="25">
        <v>0.5</v>
      </c>
      <c r="C287" s="25">
        <v>0.3</v>
      </c>
      <c r="D287" s="25">
        <v>0.98</v>
      </c>
      <c r="E287" s="19">
        <v>2</v>
      </c>
      <c r="F287" s="8">
        <f>A287*B287*C287*(1-D287)*(1-Входы!$C$73)*E287*12</f>
        <v>14745.024000000016</v>
      </c>
      <c r="G287" s="8">
        <f>(Входы!$C$67-Входы!$C$68)*Входы!$C$8/Входы!$C$9*E287*12</f>
        <v>56078.00150002884</v>
      </c>
      <c r="H287" s="8">
        <f>Входы!$C$5*Входы!$C$71*B287*C287*(1-D287)*E287*12</f>
        <v>360.00000000000034</v>
      </c>
      <c r="I287" s="8">
        <f t="shared" si="8"/>
        <v>71183.02550002886</v>
      </c>
      <c r="J287" s="8">
        <f>I287-Входы!$C$75*12-Входы!$C$77-Входы!$C$78-Входы!$C$79*Входы!$C$8/Входы!$C$9</f>
        <v>-340047.86355552991</v>
      </c>
      <c r="K287" s="24" t="str">
        <f t="shared" si="9"/>
        <v>Да</v>
      </c>
    </row>
    <row r="288" spans="1:11" x14ac:dyDescent="0.25">
      <c r="A288" s="24">
        <f>Входы!$C$5*Входы!$C$6*Входы!$C$7</f>
        <v>222600</v>
      </c>
      <c r="B288" s="25">
        <v>0.5</v>
      </c>
      <c r="C288" s="25">
        <v>0.3</v>
      </c>
      <c r="D288" s="25">
        <v>0.98</v>
      </c>
      <c r="E288" s="19">
        <v>3</v>
      </c>
      <c r="F288" s="8">
        <f>A288*B288*C288*(1-D288)*(1-Входы!$C$73)*E288*12</f>
        <v>22117.536000000022</v>
      </c>
      <c r="G288" s="8">
        <f>(Входы!$C$67-Входы!$C$68)*Входы!$C$8/Входы!$C$9*E288*12</f>
        <v>84117.002250043268</v>
      </c>
      <c r="H288" s="8">
        <f>Входы!$C$5*Входы!$C$71*B288*C288*(1-D288)*E288*12</f>
        <v>540.00000000000045</v>
      </c>
      <c r="I288" s="8">
        <f t="shared" si="8"/>
        <v>106774.53825004329</v>
      </c>
      <c r="J288" s="8">
        <f>I288-Входы!$C$75*12-Входы!$C$77-Входы!$C$78-Входы!$C$79*Входы!$C$8/Входы!$C$9</f>
        <v>-304456.35080551548</v>
      </c>
      <c r="K288" s="24" t="str">
        <f t="shared" si="9"/>
        <v>Да</v>
      </c>
    </row>
    <row r="289" spans="1:11" x14ac:dyDescent="0.25">
      <c r="A289" s="24">
        <f>Входы!$C$5*Входы!$C$6*Входы!$C$7</f>
        <v>222600</v>
      </c>
      <c r="B289" s="25">
        <v>0.5</v>
      </c>
      <c r="C289" s="25">
        <v>0.3</v>
      </c>
      <c r="D289" s="25">
        <v>0.98</v>
      </c>
      <c r="E289" s="19">
        <v>4</v>
      </c>
      <c r="F289" s="8">
        <f>A289*B289*C289*(1-D289)*(1-Входы!$C$73)*E289*12</f>
        <v>29490.048000000032</v>
      </c>
      <c r="G289" s="8">
        <f>(Входы!$C$67-Входы!$C$68)*Входы!$C$8/Входы!$C$9*E289*12</f>
        <v>112156.00300005768</v>
      </c>
      <c r="H289" s="8">
        <f>Входы!$C$5*Входы!$C$71*B289*C289*(1-D289)*E289*12</f>
        <v>720.00000000000068</v>
      </c>
      <c r="I289" s="8">
        <f t="shared" si="8"/>
        <v>142366.05100005772</v>
      </c>
      <c r="J289" s="8">
        <f>I289-Входы!$C$75*12-Входы!$C$77-Входы!$C$78-Входы!$C$79*Входы!$C$8/Входы!$C$9</f>
        <v>-268864.83805550105</v>
      </c>
      <c r="K289" s="24" t="str">
        <f t="shared" si="9"/>
        <v>Да</v>
      </c>
    </row>
    <row r="290" spans="1:11" x14ac:dyDescent="0.25">
      <c r="A290" s="24">
        <f>Входы!$C$5*Входы!$C$6*Входы!$C$7</f>
        <v>222600</v>
      </c>
      <c r="B290" s="25">
        <v>0.5</v>
      </c>
      <c r="C290" s="25">
        <v>0.6</v>
      </c>
      <c r="D290" s="25">
        <v>0</v>
      </c>
      <c r="E290" s="19">
        <v>0</v>
      </c>
      <c r="F290" s="8">
        <f>A290*B290*C290*(1-D290)*(1-Входы!$C$73)*E290*12</f>
        <v>0</v>
      </c>
      <c r="G290" s="8">
        <f>(Входы!$C$67-Входы!$C$68)*Входы!$C$8/Входы!$C$9*E290*12</f>
        <v>0</v>
      </c>
      <c r="H290" s="8">
        <f>Входы!$C$5*Входы!$C$71*B290*C290*(1-D290)*E290*12</f>
        <v>0</v>
      </c>
      <c r="I290" s="8">
        <f t="shared" si="8"/>
        <v>0</v>
      </c>
      <c r="J290" s="8">
        <f>I290-Входы!$C$75*12-Входы!$C$77-Входы!$C$78-Входы!$C$79*Входы!$C$8/Входы!$C$9</f>
        <v>-411230.88905555877</v>
      </c>
      <c r="K290" s="24" t="str">
        <f t="shared" si="9"/>
        <v>Да</v>
      </c>
    </row>
    <row r="291" spans="1:11" x14ac:dyDescent="0.25">
      <c r="A291" s="24">
        <f>Входы!$C$5*Входы!$C$6*Входы!$C$7</f>
        <v>222600</v>
      </c>
      <c r="B291" s="25">
        <v>0.5</v>
      </c>
      <c r="C291" s="25">
        <v>0.6</v>
      </c>
      <c r="D291" s="25">
        <v>0</v>
      </c>
      <c r="E291" s="19">
        <v>1</v>
      </c>
      <c r="F291" s="8">
        <f>A291*B291*C291*(1-D291)*(1-Входы!$C$73)*E291*12</f>
        <v>737251.20000000007</v>
      </c>
      <c r="G291" s="8">
        <f>(Входы!$C$67-Входы!$C$68)*Входы!$C$8/Входы!$C$9*E291*12</f>
        <v>28039.00075001442</v>
      </c>
      <c r="H291" s="8">
        <f>Входы!$C$5*Входы!$C$71*B291*C291*(1-D291)*E291*12</f>
        <v>18000</v>
      </c>
      <c r="I291" s="8">
        <f t="shared" si="8"/>
        <v>783290.20075001451</v>
      </c>
      <c r="J291" s="8">
        <f>I291-Входы!$C$75*12-Входы!$C$77-Входы!$C$78-Входы!$C$79*Входы!$C$8/Входы!$C$9</f>
        <v>372059.31169445574</v>
      </c>
      <c r="K291" s="24" t="str">
        <f t="shared" si="9"/>
        <v>Нет</v>
      </c>
    </row>
    <row r="292" spans="1:11" x14ac:dyDescent="0.25">
      <c r="A292" s="24">
        <f>Входы!$C$5*Входы!$C$6*Входы!$C$7</f>
        <v>222600</v>
      </c>
      <c r="B292" s="25">
        <v>0.5</v>
      </c>
      <c r="C292" s="25">
        <v>0.6</v>
      </c>
      <c r="D292" s="25">
        <v>0</v>
      </c>
      <c r="E292" s="19">
        <v>2</v>
      </c>
      <c r="F292" s="8">
        <f>A292*B292*C292*(1-D292)*(1-Входы!$C$73)*E292*12</f>
        <v>1474502.4000000001</v>
      </c>
      <c r="G292" s="8">
        <f>(Входы!$C$67-Входы!$C$68)*Входы!$C$8/Входы!$C$9*E292*12</f>
        <v>56078.00150002884</v>
      </c>
      <c r="H292" s="8">
        <f>Входы!$C$5*Входы!$C$71*B292*C292*(1-D292)*E292*12</f>
        <v>36000</v>
      </c>
      <c r="I292" s="8">
        <f t="shared" si="8"/>
        <v>1566580.401500029</v>
      </c>
      <c r="J292" s="8">
        <f>I292-Входы!$C$75*12-Входы!$C$77-Входы!$C$78-Входы!$C$79*Входы!$C$8/Входы!$C$9</f>
        <v>1155349.5124444703</v>
      </c>
      <c r="K292" s="24" t="str">
        <f t="shared" si="9"/>
        <v>Нет</v>
      </c>
    </row>
    <row r="293" spans="1:11" x14ac:dyDescent="0.25">
      <c r="A293" s="24">
        <f>Входы!$C$5*Входы!$C$6*Входы!$C$7</f>
        <v>222600</v>
      </c>
      <c r="B293" s="25">
        <v>0.5</v>
      </c>
      <c r="C293" s="25">
        <v>0.6</v>
      </c>
      <c r="D293" s="25">
        <v>0</v>
      </c>
      <c r="E293" s="19">
        <v>3</v>
      </c>
      <c r="F293" s="8">
        <f>A293*B293*C293*(1-D293)*(1-Входы!$C$73)*E293*12</f>
        <v>2211753.6</v>
      </c>
      <c r="G293" s="8">
        <f>(Входы!$C$67-Входы!$C$68)*Входы!$C$8/Входы!$C$9*E293*12</f>
        <v>84117.002250043268</v>
      </c>
      <c r="H293" s="8">
        <f>Входы!$C$5*Входы!$C$71*B293*C293*(1-D293)*E293*12</f>
        <v>54000</v>
      </c>
      <c r="I293" s="8">
        <f t="shared" si="8"/>
        <v>2349870.6022500433</v>
      </c>
      <c r="J293" s="8">
        <f>I293-Входы!$C$75*12-Входы!$C$77-Входы!$C$78-Входы!$C$79*Входы!$C$8/Входы!$C$9</f>
        <v>1938639.7131944846</v>
      </c>
      <c r="K293" s="24" t="str">
        <f t="shared" si="9"/>
        <v>Нет</v>
      </c>
    </row>
    <row r="294" spans="1:11" x14ac:dyDescent="0.25">
      <c r="A294" s="24">
        <f>Входы!$C$5*Входы!$C$6*Входы!$C$7</f>
        <v>222600</v>
      </c>
      <c r="B294" s="25">
        <v>0.5</v>
      </c>
      <c r="C294" s="25">
        <v>0.6</v>
      </c>
      <c r="D294" s="25">
        <v>0</v>
      </c>
      <c r="E294" s="19">
        <v>4</v>
      </c>
      <c r="F294" s="8">
        <f>A294*B294*C294*(1-D294)*(1-Входы!$C$73)*E294*12</f>
        <v>2949004.8000000003</v>
      </c>
      <c r="G294" s="8">
        <f>(Входы!$C$67-Входы!$C$68)*Входы!$C$8/Входы!$C$9*E294*12</f>
        <v>112156.00300005768</v>
      </c>
      <c r="H294" s="8">
        <f>Входы!$C$5*Входы!$C$71*B294*C294*(1-D294)*E294*12</f>
        <v>72000</v>
      </c>
      <c r="I294" s="8">
        <f t="shared" si="8"/>
        <v>3133160.803000058</v>
      </c>
      <c r="J294" s="8">
        <f>I294-Входы!$C$75*12-Входы!$C$77-Входы!$C$78-Входы!$C$79*Входы!$C$8/Входы!$C$9</f>
        <v>2721929.9139444991</v>
      </c>
      <c r="K294" s="24" t="str">
        <f t="shared" si="9"/>
        <v>Нет</v>
      </c>
    </row>
    <row r="295" spans="1:11" x14ac:dyDescent="0.25">
      <c r="A295" s="24">
        <f>Входы!$C$5*Входы!$C$6*Входы!$C$7</f>
        <v>222600</v>
      </c>
      <c r="B295" s="25">
        <v>0.5</v>
      </c>
      <c r="C295" s="25">
        <v>0.6</v>
      </c>
      <c r="D295" s="25">
        <v>0.8</v>
      </c>
      <c r="E295" s="19">
        <v>0</v>
      </c>
      <c r="F295" s="8">
        <f>A295*B295*C295*(1-D295)*(1-Входы!$C$73)*E295*12</f>
        <v>0</v>
      </c>
      <c r="G295" s="8">
        <f>(Входы!$C$67-Входы!$C$68)*Входы!$C$8/Входы!$C$9*E295*12</f>
        <v>0</v>
      </c>
      <c r="H295" s="8">
        <f>Входы!$C$5*Входы!$C$71*B295*C295*(1-D295)*E295*12</f>
        <v>0</v>
      </c>
      <c r="I295" s="8">
        <f t="shared" si="8"/>
        <v>0</v>
      </c>
      <c r="J295" s="8">
        <f>I295-Входы!$C$75*12-Входы!$C$77-Входы!$C$78-Входы!$C$79*Входы!$C$8/Входы!$C$9</f>
        <v>-411230.88905555877</v>
      </c>
      <c r="K295" s="24" t="str">
        <f t="shared" si="9"/>
        <v>Да</v>
      </c>
    </row>
    <row r="296" spans="1:11" x14ac:dyDescent="0.25">
      <c r="A296" s="24">
        <f>Входы!$C$5*Входы!$C$6*Входы!$C$7</f>
        <v>222600</v>
      </c>
      <c r="B296" s="25">
        <v>0.5</v>
      </c>
      <c r="C296" s="25">
        <v>0.6</v>
      </c>
      <c r="D296" s="25">
        <v>0.8</v>
      </c>
      <c r="E296" s="19">
        <v>1</v>
      </c>
      <c r="F296" s="8">
        <f>A296*B296*C296*(1-D296)*(1-Входы!$C$73)*E296*12</f>
        <v>147450.23999999996</v>
      </c>
      <c r="G296" s="8">
        <f>(Входы!$C$67-Входы!$C$68)*Входы!$C$8/Входы!$C$9*E296*12</f>
        <v>28039.00075001442</v>
      </c>
      <c r="H296" s="8">
        <f>Входы!$C$5*Входы!$C$71*B296*C296*(1-D296)*E296*12</f>
        <v>3599.9999999999991</v>
      </c>
      <c r="I296" s="8">
        <f t="shared" si="8"/>
        <v>179089.24075001437</v>
      </c>
      <c r="J296" s="8">
        <f>I296-Входы!$C$75*12-Входы!$C$77-Входы!$C$78-Входы!$C$79*Входы!$C$8/Входы!$C$9</f>
        <v>-232141.6483055444</v>
      </c>
      <c r="K296" s="24" t="str">
        <f t="shared" si="9"/>
        <v>Да</v>
      </c>
    </row>
    <row r="297" spans="1:11" x14ac:dyDescent="0.25">
      <c r="A297" s="24">
        <f>Входы!$C$5*Входы!$C$6*Входы!$C$7</f>
        <v>222600</v>
      </c>
      <c r="B297" s="25">
        <v>0.5</v>
      </c>
      <c r="C297" s="25">
        <v>0.6</v>
      </c>
      <c r="D297" s="25">
        <v>0.8</v>
      </c>
      <c r="E297" s="19">
        <v>2</v>
      </c>
      <c r="F297" s="8">
        <f>A297*B297*C297*(1-D297)*(1-Входы!$C$73)*E297*12</f>
        <v>294900.47999999992</v>
      </c>
      <c r="G297" s="8">
        <f>(Входы!$C$67-Входы!$C$68)*Входы!$C$8/Входы!$C$9*E297*12</f>
        <v>56078.00150002884</v>
      </c>
      <c r="H297" s="8">
        <f>Входы!$C$5*Входы!$C$71*B297*C297*(1-D297)*E297*12</f>
        <v>7199.9999999999982</v>
      </c>
      <c r="I297" s="8">
        <f t="shared" si="8"/>
        <v>358178.48150002875</v>
      </c>
      <c r="J297" s="8">
        <f>I297-Входы!$C$75*12-Входы!$C$77-Входы!$C$78-Входы!$C$79*Входы!$C$8/Входы!$C$9</f>
        <v>-53052.407555530008</v>
      </c>
      <c r="K297" s="24" t="str">
        <f t="shared" si="9"/>
        <v>Да</v>
      </c>
    </row>
    <row r="298" spans="1:11" x14ac:dyDescent="0.25">
      <c r="A298" s="24">
        <f>Входы!$C$5*Входы!$C$6*Входы!$C$7</f>
        <v>222600</v>
      </c>
      <c r="B298" s="25">
        <v>0.5</v>
      </c>
      <c r="C298" s="25">
        <v>0.6</v>
      </c>
      <c r="D298" s="25">
        <v>0.8</v>
      </c>
      <c r="E298" s="19">
        <v>3</v>
      </c>
      <c r="F298" s="8">
        <f>A298*B298*C298*(1-D298)*(1-Входы!$C$73)*E298*12</f>
        <v>442350.71999999986</v>
      </c>
      <c r="G298" s="8">
        <f>(Входы!$C$67-Входы!$C$68)*Входы!$C$8/Входы!$C$9*E298*12</f>
        <v>84117.002250043268</v>
      </c>
      <c r="H298" s="8">
        <f>Входы!$C$5*Входы!$C$71*B298*C298*(1-D298)*E298*12</f>
        <v>10799.999999999996</v>
      </c>
      <c r="I298" s="8">
        <f t="shared" si="8"/>
        <v>537267.72225004318</v>
      </c>
      <c r="J298" s="8">
        <f>I298-Входы!$C$75*12-Входы!$C$77-Входы!$C$78-Входы!$C$79*Входы!$C$8/Входы!$C$9</f>
        <v>126036.83319448442</v>
      </c>
      <c r="K298" s="24" t="str">
        <f t="shared" si="9"/>
        <v>Нет</v>
      </c>
    </row>
    <row r="299" spans="1:11" x14ac:dyDescent="0.25">
      <c r="A299" s="24">
        <f>Входы!$C$5*Входы!$C$6*Входы!$C$7</f>
        <v>222600</v>
      </c>
      <c r="B299" s="25">
        <v>0.5</v>
      </c>
      <c r="C299" s="25">
        <v>0.6</v>
      </c>
      <c r="D299" s="25">
        <v>0.8</v>
      </c>
      <c r="E299" s="19">
        <v>4</v>
      </c>
      <c r="F299" s="8">
        <f>A299*B299*C299*(1-D299)*(1-Входы!$C$73)*E299*12</f>
        <v>589800.95999999985</v>
      </c>
      <c r="G299" s="8">
        <f>(Входы!$C$67-Входы!$C$68)*Входы!$C$8/Входы!$C$9*E299*12</f>
        <v>112156.00300005768</v>
      </c>
      <c r="H299" s="8">
        <f>Входы!$C$5*Входы!$C$71*B299*C299*(1-D299)*E299*12</f>
        <v>14399.999999999996</v>
      </c>
      <c r="I299" s="8">
        <f t="shared" si="8"/>
        <v>716356.9630000575</v>
      </c>
      <c r="J299" s="8">
        <f>I299-Входы!$C$75*12-Входы!$C$77-Входы!$C$78-Входы!$C$79*Входы!$C$8/Входы!$C$9</f>
        <v>305126.07394449873</v>
      </c>
      <c r="K299" s="24" t="str">
        <f t="shared" si="9"/>
        <v>Нет</v>
      </c>
    </row>
    <row r="300" spans="1:11" x14ac:dyDescent="0.25">
      <c r="A300" s="24">
        <f>Входы!$C$5*Входы!$C$6*Входы!$C$7</f>
        <v>222600</v>
      </c>
      <c r="B300" s="25">
        <v>0.5</v>
      </c>
      <c r="C300" s="25">
        <v>0.6</v>
      </c>
      <c r="D300" s="25">
        <v>0.98</v>
      </c>
      <c r="E300" s="19">
        <v>0</v>
      </c>
      <c r="F300" s="8">
        <f>A300*B300*C300*(1-D300)*(1-Входы!$C$73)*E300*12</f>
        <v>0</v>
      </c>
      <c r="G300" s="8">
        <f>(Входы!$C$67-Входы!$C$68)*Входы!$C$8/Входы!$C$9*E300*12</f>
        <v>0</v>
      </c>
      <c r="H300" s="8">
        <f>Входы!$C$5*Входы!$C$71*B300*C300*(1-D300)*E300*12</f>
        <v>0</v>
      </c>
      <c r="I300" s="8">
        <f t="shared" si="8"/>
        <v>0</v>
      </c>
      <c r="J300" s="8">
        <f>I300-Входы!$C$75*12-Входы!$C$77-Входы!$C$78-Входы!$C$79*Входы!$C$8/Входы!$C$9</f>
        <v>-411230.88905555877</v>
      </c>
      <c r="K300" s="24" t="str">
        <f t="shared" si="9"/>
        <v>Да</v>
      </c>
    </row>
    <row r="301" spans="1:11" x14ac:dyDescent="0.25">
      <c r="A301" s="24">
        <f>Входы!$C$5*Входы!$C$6*Входы!$C$7</f>
        <v>222600</v>
      </c>
      <c r="B301" s="25">
        <v>0.5</v>
      </c>
      <c r="C301" s="25">
        <v>0.6</v>
      </c>
      <c r="D301" s="25">
        <v>0.98</v>
      </c>
      <c r="E301" s="19">
        <v>1</v>
      </c>
      <c r="F301" s="8">
        <f>A301*B301*C301*(1-D301)*(1-Входы!$C$73)*E301*12</f>
        <v>14745.024000000016</v>
      </c>
      <c r="G301" s="8">
        <f>(Входы!$C$67-Входы!$C$68)*Входы!$C$8/Входы!$C$9*E301*12</f>
        <v>28039.00075001442</v>
      </c>
      <c r="H301" s="8">
        <f>Входы!$C$5*Входы!$C$71*B301*C301*(1-D301)*E301*12</f>
        <v>360.00000000000034</v>
      </c>
      <c r="I301" s="8">
        <f t="shared" si="8"/>
        <v>43144.024750014432</v>
      </c>
      <c r="J301" s="8">
        <f>I301-Входы!$C$75*12-Входы!$C$77-Входы!$C$78-Входы!$C$79*Входы!$C$8/Входы!$C$9</f>
        <v>-368086.86430554435</v>
      </c>
      <c r="K301" s="24" t="str">
        <f t="shared" si="9"/>
        <v>Да</v>
      </c>
    </row>
    <row r="302" spans="1:11" x14ac:dyDescent="0.25">
      <c r="A302" s="24">
        <f>Входы!$C$5*Входы!$C$6*Входы!$C$7</f>
        <v>222600</v>
      </c>
      <c r="B302" s="25">
        <v>0.5</v>
      </c>
      <c r="C302" s="25">
        <v>0.6</v>
      </c>
      <c r="D302" s="25">
        <v>0.98</v>
      </c>
      <c r="E302" s="19">
        <v>2</v>
      </c>
      <c r="F302" s="8">
        <f>A302*B302*C302*(1-D302)*(1-Входы!$C$73)*E302*12</f>
        <v>29490.048000000032</v>
      </c>
      <c r="G302" s="8">
        <f>(Входы!$C$67-Входы!$C$68)*Входы!$C$8/Входы!$C$9*E302*12</f>
        <v>56078.00150002884</v>
      </c>
      <c r="H302" s="8">
        <f>Входы!$C$5*Входы!$C$71*B302*C302*(1-D302)*E302*12</f>
        <v>720.00000000000068</v>
      </c>
      <c r="I302" s="8">
        <f t="shared" si="8"/>
        <v>86288.049500028865</v>
      </c>
      <c r="J302" s="8">
        <f>I302-Входы!$C$75*12-Входы!$C$77-Входы!$C$78-Входы!$C$79*Входы!$C$8/Входы!$C$9</f>
        <v>-324942.83955552994</v>
      </c>
      <c r="K302" s="24" t="str">
        <f t="shared" si="9"/>
        <v>Да</v>
      </c>
    </row>
    <row r="303" spans="1:11" x14ac:dyDescent="0.25">
      <c r="A303" s="24">
        <f>Входы!$C$5*Входы!$C$6*Входы!$C$7</f>
        <v>222600</v>
      </c>
      <c r="B303" s="25">
        <v>0.5</v>
      </c>
      <c r="C303" s="25">
        <v>0.6</v>
      </c>
      <c r="D303" s="25">
        <v>0.98</v>
      </c>
      <c r="E303" s="19">
        <v>3</v>
      </c>
      <c r="F303" s="8">
        <f>A303*B303*C303*(1-D303)*(1-Входы!$C$73)*E303*12</f>
        <v>44235.072000000044</v>
      </c>
      <c r="G303" s="8">
        <f>(Входы!$C$67-Входы!$C$68)*Входы!$C$8/Входы!$C$9*E303*12</f>
        <v>84117.002250043268</v>
      </c>
      <c r="H303" s="8">
        <f>Входы!$C$5*Входы!$C$71*B303*C303*(1-D303)*E303*12</f>
        <v>1080.0000000000009</v>
      </c>
      <c r="I303" s="8">
        <f t="shared" si="8"/>
        <v>129432.07425004331</v>
      </c>
      <c r="J303" s="8">
        <f>I303-Входы!$C$75*12-Входы!$C$77-Входы!$C$78-Входы!$C$79*Входы!$C$8/Входы!$C$9</f>
        <v>-281798.81480551546</v>
      </c>
      <c r="K303" s="24" t="str">
        <f t="shared" si="9"/>
        <v>Да</v>
      </c>
    </row>
    <row r="304" spans="1:11" x14ac:dyDescent="0.25">
      <c r="A304" s="24">
        <f>Входы!$C$5*Входы!$C$6*Входы!$C$7</f>
        <v>222600</v>
      </c>
      <c r="B304" s="25">
        <v>0.5</v>
      </c>
      <c r="C304" s="25">
        <v>0.6</v>
      </c>
      <c r="D304" s="25">
        <v>0.98</v>
      </c>
      <c r="E304" s="19">
        <v>4</v>
      </c>
      <c r="F304" s="8">
        <f>A304*B304*C304*(1-D304)*(1-Входы!$C$73)*E304*12</f>
        <v>58980.096000000063</v>
      </c>
      <c r="G304" s="8">
        <f>(Входы!$C$67-Входы!$C$68)*Входы!$C$8/Входы!$C$9*E304*12</f>
        <v>112156.00300005768</v>
      </c>
      <c r="H304" s="8">
        <f>Входы!$C$5*Входы!$C$71*B304*C304*(1-D304)*E304*12</f>
        <v>1440.0000000000014</v>
      </c>
      <c r="I304" s="8">
        <f t="shared" si="8"/>
        <v>172576.09900005773</v>
      </c>
      <c r="J304" s="8">
        <f>I304-Входы!$C$75*12-Входы!$C$77-Входы!$C$78-Входы!$C$79*Входы!$C$8/Входы!$C$9</f>
        <v>-238654.79005550104</v>
      </c>
      <c r="K304" s="24" t="str">
        <f t="shared" si="9"/>
        <v>Да</v>
      </c>
    </row>
    <row r="305" spans="1:11" x14ac:dyDescent="0.25">
      <c r="A305" s="24">
        <f>Входы!$C$5*Входы!$C$6*Входы!$C$7</f>
        <v>222600</v>
      </c>
      <c r="B305" s="25">
        <v>0.5</v>
      </c>
      <c r="C305" s="25">
        <v>1</v>
      </c>
      <c r="D305" s="25">
        <v>0</v>
      </c>
      <c r="E305" s="19">
        <v>0</v>
      </c>
      <c r="F305" s="8">
        <f>A305*B305*C305*(1-D305)*(1-Входы!$C$73)*E305*12</f>
        <v>0</v>
      </c>
      <c r="G305" s="8">
        <f>(Входы!$C$67-Входы!$C$68)*Входы!$C$8/Входы!$C$9*E305*12</f>
        <v>0</v>
      </c>
      <c r="H305" s="8">
        <f>Входы!$C$5*Входы!$C$71*B305*C305*(1-D305)*E305*12</f>
        <v>0</v>
      </c>
      <c r="I305" s="8">
        <f t="shared" si="8"/>
        <v>0</v>
      </c>
      <c r="J305" s="8">
        <f>I305-Входы!$C$75*12-Входы!$C$77-Входы!$C$78-Входы!$C$79*Входы!$C$8/Входы!$C$9</f>
        <v>-411230.88905555877</v>
      </c>
      <c r="K305" s="24" t="str">
        <f t="shared" si="9"/>
        <v>Да</v>
      </c>
    </row>
    <row r="306" spans="1:11" x14ac:dyDescent="0.25">
      <c r="A306" s="24">
        <f>Входы!$C$5*Входы!$C$6*Входы!$C$7</f>
        <v>222600</v>
      </c>
      <c r="B306" s="25">
        <v>0.5</v>
      </c>
      <c r="C306" s="25">
        <v>1</v>
      </c>
      <c r="D306" s="25">
        <v>0</v>
      </c>
      <c r="E306" s="19">
        <v>1</v>
      </c>
      <c r="F306" s="8">
        <f>A306*B306*C306*(1-D306)*(1-Входы!$C$73)*E306*12</f>
        <v>1228752</v>
      </c>
      <c r="G306" s="8">
        <f>(Входы!$C$67-Входы!$C$68)*Входы!$C$8/Входы!$C$9*E306*12</f>
        <v>28039.00075001442</v>
      </c>
      <c r="H306" s="8">
        <f>Входы!$C$5*Входы!$C$71*B306*C306*(1-D306)*E306*12</f>
        <v>30000</v>
      </c>
      <c r="I306" s="8">
        <f t="shared" si="8"/>
        <v>1286791.0007500143</v>
      </c>
      <c r="J306" s="8">
        <f>I306-Входы!$C$75*12-Входы!$C$77-Входы!$C$78-Входы!$C$79*Входы!$C$8/Входы!$C$9</f>
        <v>875560.11169445561</v>
      </c>
      <c r="K306" s="24" t="str">
        <f t="shared" si="9"/>
        <v>Нет</v>
      </c>
    </row>
    <row r="307" spans="1:11" x14ac:dyDescent="0.25">
      <c r="A307" s="24">
        <f>Входы!$C$5*Входы!$C$6*Входы!$C$7</f>
        <v>222600</v>
      </c>
      <c r="B307" s="25">
        <v>0.5</v>
      </c>
      <c r="C307" s="25">
        <v>1</v>
      </c>
      <c r="D307" s="25">
        <v>0</v>
      </c>
      <c r="E307" s="19">
        <v>2</v>
      </c>
      <c r="F307" s="8">
        <f>A307*B307*C307*(1-D307)*(1-Входы!$C$73)*E307*12</f>
        <v>2457504</v>
      </c>
      <c r="G307" s="8">
        <f>(Входы!$C$67-Входы!$C$68)*Входы!$C$8/Входы!$C$9*E307*12</f>
        <v>56078.00150002884</v>
      </c>
      <c r="H307" s="8">
        <f>Входы!$C$5*Входы!$C$71*B307*C307*(1-D307)*E307*12</f>
        <v>60000</v>
      </c>
      <c r="I307" s="8">
        <f t="shared" si="8"/>
        <v>2573582.0015000287</v>
      </c>
      <c r="J307" s="8">
        <f>I307-Входы!$C$75*12-Входы!$C$77-Входы!$C$78-Входы!$C$79*Входы!$C$8/Входы!$C$9</f>
        <v>2162351.1124444697</v>
      </c>
      <c r="K307" s="24" t="str">
        <f t="shared" si="9"/>
        <v>Нет</v>
      </c>
    </row>
    <row r="308" spans="1:11" x14ac:dyDescent="0.25">
      <c r="A308" s="24">
        <f>Входы!$C$5*Входы!$C$6*Входы!$C$7</f>
        <v>222600</v>
      </c>
      <c r="B308" s="25">
        <v>0.5</v>
      </c>
      <c r="C308" s="25">
        <v>1</v>
      </c>
      <c r="D308" s="25">
        <v>0</v>
      </c>
      <c r="E308" s="19">
        <v>3</v>
      </c>
      <c r="F308" s="8">
        <f>A308*B308*C308*(1-D308)*(1-Входы!$C$73)*E308*12</f>
        <v>3686256</v>
      </c>
      <c r="G308" s="8">
        <f>(Входы!$C$67-Входы!$C$68)*Входы!$C$8/Входы!$C$9*E308*12</f>
        <v>84117.002250043268</v>
      </c>
      <c r="H308" s="8">
        <f>Входы!$C$5*Входы!$C$71*B308*C308*(1-D308)*E308*12</f>
        <v>90000</v>
      </c>
      <c r="I308" s="8">
        <f t="shared" si="8"/>
        <v>3860373.0022500432</v>
      </c>
      <c r="J308" s="8">
        <f>I308-Входы!$C$75*12-Входы!$C$77-Входы!$C$78-Входы!$C$79*Входы!$C$8/Входы!$C$9</f>
        <v>3449142.1131944843</v>
      </c>
      <c r="K308" s="24" t="str">
        <f t="shared" si="9"/>
        <v>Нет</v>
      </c>
    </row>
    <row r="309" spans="1:11" x14ac:dyDescent="0.25">
      <c r="A309" s="24">
        <f>Входы!$C$5*Входы!$C$6*Входы!$C$7</f>
        <v>222600</v>
      </c>
      <c r="B309" s="25">
        <v>0.5</v>
      </c>
      <c r="C309" s="25">
        <v>1</v>
      </c>
      <c r="D309" s="25">
        <v>0</v>
      </c>
      <c r="E309" s="19">
        <v>4</v>
      </c>
      <c r="F309" s="8">
        <f>A309*B309*C309*(1-D309)*(1-Входы!$C$73)*E309*12</f>
        <v>4915008</v>
      </c>
      <c r="G309" s="8">
        <f>(Входы!$C$67-Входы!$C$68)*Входы!$C$8/Входы!$C$9*E309*12</f>
        <v>112156.00300005768</v>
      </c>
      <c r="H309" s="8">
        <f>Входы!$C$5*Входы!$C$71*B309*C309*(1-D309)*E309*12</f>
        <v>120000</v>
      </c>
      <c r="I309" s="8">
        <f t="shared" si="8"/>
        <v>5147164.0030000573</v>
      </c>
      <c r="J309" s="8">
        <f>I309-Входы!$C$75*12-Входы!$C$77-Входы!$C$78-Входы!$C$79*Входы!$C$8/Входы!$C$9</f>
        <v>4735933.1139444988</v>
      </c>
      <c r="K309" s="24" t="str">
        <f t="shared" si="9"/>
        <v>Нет</v>
      </c>
    </row>
    <row r="310" spans="1:11" x14ac:dyDescent="0.25">
      <c r="A310" s="24">
        <f>Входы!$C$5*Входы!$C$6*Входы!$C$7</f>
        <v>222600</v>
      </c>
      <c r="B310" s="25">
        <v>0.5</v>
      </c>
      <c r="C310" s="25">
        <v>1</v>
      </c>
      <c r="D310" s="25">
        <v>0.8</v>
      </c>
      <c r="E310" s="19">
        <v>0</v>
      </c>
      <c r="F310" s="8">
        <f>A310*B310*C310*(1-D310)*(1-Входы!$C$73)*E310*12</f>
        <v>0</v>
      </c>
      <c r="G310" s="8">
        <f>(Входы!$C$67-Входы!$C$68)*Входы!$C$8/Входы!$C$9*E310*12</f>
        <v>0</v>
      </c>
      <c r="H310" s="8">
        <f>Входы!$C$5*Входы!$C$71*B310*C310*(1-D310)*E310*12</f>
        <v>0</v>
      </c>
      <c r="I310" s="8">
        <f t="shared" si="8"/>
        <v>0</v>
      </c>
      <c r="J310" s="8">
        <f>I310-Входы!$C$75*12-Входы!$C$77-Входы!$C$78-Входы!$C$79*Входы!$C$8/Входы!$C$9</f>
        <v>-411230.88905555877</v>
      </c>
      <c r="K310" s="24" t="str">
        <f t="shared" si="9"/>
        <v>Да</v>
      </c>
    </row>
    <row r="311" spans="1:11" x14ac:dyDescent="0.25">
      <c r="A311" s="24">
        <f>Входы!$C$5*Входы!$C$6*Входы!$C$7</f>
        <v>222600</v>
      </c>
      <c r="B311" s="25">
        <v>0.5</v>
      </c>
      <c r="C311" s="25">
        <v>1</v>
      </c>
      <c r="D311" s="25">
        <v>0.8</v>
      </c>
      <c r="E311" s="19">
        <v>1</v>
      </c>
      <c r="F311" s="8">
        <f>A311*B311*C311*(1-D311)*(1-Входы!$C$73)*E311*12</f>
        <v>245750.39999999997</v>
      </c>
      <c r="G311" s="8">
        <f>(Входы!$C$67-Входы!$C$68)*Входы!$C$8/Входы!$C$9*E311*12</f>
        <v>28039.00075001442</v>
      </c>
      <c r="H311" s="8">
        <f>Входы!$C$5*Входы!$C$71*B311*C311*(1-D311)*E311*12</f>
        <v>5999.9999999999982</v>
      </c>
      <c r="I311" s="8">
        <f t="shared" si="8"/>
        <v>279789.40075001441</v>
      </c>
      <c r="J311" s="8">
        <f>I311-Входы!$C$75*12-Входы!$C$77-Входы!$C$78-Входы!$C$79*Входы!$C$8/Входы!$C$9</f>
        <v>-131441.48830554436</v>
      </c>
      <c r="K311" s="24" t="str">
        <f t="shared" si="9"/>
        <v>Да</v>
      </c>
    </row>
    <row r="312" spans="1:11" x14ac:dyDescent="0.25">
      <c r="A312" s="24">
        <f>Входы!$C$5*Входы!$C$6*Входы!$C$7</f>
        <v>222600</v>
      </c>
      <c r="B312" s="25">
        <v>0.5</v>
      </c>
      <c r="C312" s="25">
        <v>1</v>
      </c>
      <c r="D312" s="25">
        <v>0.8</v>
      </c>
      <c r="E312" s="19">
        <v>2</v>
      </c>
      <c r="F312" s="8">
        <f>A312*B312*C312*(1-D312)*(1-Входы!$C$73)*E312*12</f>
        <v>491500.79999999993</v>
      </c>
      <c r="G312" s="8">
        <f>(Входы!$C$67-Входы!$C$68)*Входы!$C$8/Входы!$C$9*E312*12</f>
        <v>56078.00150002884</v>
      </c>
      <c r="H312" s="8">
        <f>Входы!$C$5*Входы!$C$71*B312*C312*(1-D312)*E312*12</f>
        <v>11999.999999999996</v>
      </c>
      <c r="I312" s="8">
        <f t="shared" si="8"/>
        <v>559578.80150002881</v>
      </c>
      <c r="J312" s="8">
        <f>I312-Входы!$C$75*12-Входы!$C$77-Входы!$C$78-Входы!$C$79*Входы!$C$8/Входы!$C$9</f>
        <v>148347.91244447004</v>
      </c>
      <c r="K312" s="24" t="str">
        <f t="shared" si="9"/>
        <v>Нет</v>
      </c>
    </row>
    <row r="313" spans="1:11" x14ac:dyDescent="0.25">
      <c r="A313" s="24">
        <f>Входы!$C$5*Входы!$C$6*Входы!$C$7</f>
        <v>222600</v>
      </c>
      <c r="B313" s="25">
        <v>0.5</v>
      </c>
      <c r="C313" s="25">
        <v>1</v>
      </c>
      <c r="D313" s="25">
        <v>0.8</v>
      </c>
      <c r="E313" s="19">
        <v>3</v>
      </c>
      <c r="F313" s="8">
        <f>A313*B313*C313*(1-D313)*(1-Входы!$C$73)*E313*12</f>
        <v>737251.2</v>
      </c>
      <c r="G313" s="8">
        <f>(Входы!$C$67-Входы!$C$68)*Входы!$C$8/Входы!$C$9*E313*12</f>
        <v>84117.002250043268</v>
      </c>
      <c r="H313" s="8">
        <f>Входы!$C$5*Входы!$C$71*B313*C313*(1-D313)*E313*12</f>
        <v>17999.999999999993</v>
      </c>
      <c r="I313" s="8">
        <f t="shared" si="8"/>
        <v>839368.20225004316</v>
      </c>
      <c r="J313" s="8">
        <f>I313-Входы!$C$75*12-Входы!$C$77-Входы!$C$78-Входы!$C$79*Входы!$C$8/Входы!$C$9</f>
        <v>428137.31319448439</v>
      </c>
      <c r="K313" s="24" t="str">
        <f t="shared" si="9"/>
        <v>Нет</v>
      </c>
    </row>
    <row r="314" spans="1:11" x14ac:dyDescent="0.25">
      <c r="A314" s="24">
        <f>Входы!$C$5*Входы!$C$6*Входы!$C$7</f>
        <v>222600</v>
      </c>
      <c r="B314" s="25">
        <v>0.5</v>
      </c>
      <c r="C314" s="25">
        <v>1</v>
      </c>
      <c r="D314" s="25">
        <v>0.8</v>
      </c>
      <c r="E314" s="19">
        <v>4</v>
      </c>
      <c r="F314" s="8">
        <f>A314*B314*C314*(1-D314)*(1-Входы!$C$73)*E314*12</f>
        <v>983001.59999999986</v>
      </c>
      <c r="G314" s="8">
        <f>(Входы!$C$67-Входы!$C$68)*Входы!$C$8/Входы!$C$9*E314*12</f>
        <v>112156.00300005768</v>
      </c>
      <c r="H314" s="8">
        <f>Входы!$C$5*Входы!$C$71*B314*C314*(1-D314)*E314*12</f>
        <v>23999.999999999993</v>
      </c>
      <c r="I314" s="8">
        <f t="shared" si="8"/>
        <v>1119157.6030000576</v>
      </c>
      <c r="J314" s="8">
        <f>I314-Входы!$C$75*12-Входы!$C$77-Входы!$C$78-Входы!$C$79*Входы!$C$8/Входы!$C$9</f>
        <v>707926.71394449892</v>
      </c>
      <c r="K314" s="24" t="str">
        <f t="shared" si="9"/>
        <v>Нет</v>
      </c>
    </row>
    <row r="315" spans="1:11" x14ac:dyDescent="0.25">
      <c r="A315" s="24">
        <f>Входы!$C$5*Входы!$C$6*Входы!$C$7</f>
        <v>222600</v>
      </c>
      <c r="B315" s="25">
        <v>0.5</v>
      </c>
      <c r="C315" s="25">
        <v>1</v>
      </c>
      <c r="D315" s="25">
        <v>0.98</v>
      </c>
      <c r="E315" s="19">
        <v>0</v>
      </c>
      <c r="F315" s="8">
        <f>A315*B315*C315*(1-D315)*(1-Входы!$C$73)*E315*12</f>
        <v>0</v>
      </c>
      <c r="G315" s="8">
        <f>(Входы!$C$67-Входы!$C$68)*Входы!$C$8/Входы!$C$9*E315*12</f>
        <v>0</v>
      </c>
      <c r="H315" s="8">
        <f>Входы!$C$5*Входы!$C$71*B315*C315*(1-D315)*E315*12</f>
        <v>0</v>
      </c>
      <c r="I315" s="8">
        <f t="shared" si="8"/>
        <v>0</v>
      </c>
      <c r="J315" s="8">
        <f>I315-Входы!$C$75*12-Входы!$C$77-Входы!$C$78-Входы!$C$79*Входы!$C$8/Входы!$C$9</f>
        <v>-411230.88905555877</v>
      </c>
      <c r="K315" s="24" t="str">
        <f t="shared" si="9"/>
        <v>Да</v>
      </c>
    </row>
    <row r="316" spans="1:11" x14ac:dyDescent="0.25">
      <c r="A316" s="24">
        <f>Входы!$C$5*Входы!$C$6*Входы!$C$7</f>
        <v>222600</v>
      </c>
      <c r="B316" s="25">
        <v>0.5</v>
      </c>
      <c r="C316" s="25">
        <v>1</v>
      </c>
      <c r="D316" s="25">
        <v>0.98</v>
      </c>
      <c r="E316" s="19">
        <v>1</v>
      </c>
      <c r="F316" s="8">
        <f>A316*B316*C316*(1-D316)*(1-Входы!$C$73)*E316*12</f>
        <v>24575.040000000019</v>
      </c>
      <c r="G316" s="8">
        <f>(Входы!$C$67-Входы!$C$68)*Входы!$C$8/Входы!$C$9*E316*12</f>
        <v>28039.00075001442</v>
      </c>
      <c r="H316" s="8">
        <f>Входы!$C$5*Входы!$C$71*B316*C316*(1-D316)*E316*12</f>
        <v>600.00000000000045</v>
      </c>
      <c r="I316" s="8">
        <f t="shared" si="8"/>
        <v>53214.040750014436</v>
      </c>
      <c r="J316" s="8">
        <f>I316-Входы!$C$75*12-Входы!$C$77-Входы!$C$78-Входы!$C$79*Входы!$C$8/Входы!$C$9</f>
        <v>-358016.84830554435</v>
      </c>
      <c r="K316" s="24" t="str">
        <f t="shared" si="9"/>
        <v>Да</v>
      </c>
    </row>
    <row r="317" spans="1:11" x14ac:dyDescent="0.25">
      <c r="A317" s="24">
        <f>Входы!$C$5*Входы!$C$6*Входы!$C$7</f>
        <v>222600</v>
      </c>
      <c r="B317" s="25">
        <v>0.5</v>
      </c>
      <c r="C317" s="25">
        <v>1</v>
      </c>
      <c r="D317" s="25">
        <v>0.98</v>
      </c>
      <c r="E317" s="19">
        <v>2</v>
      </c>
      <c r="F317" s="8">
        <f>A317*B317*C317*(1-D317)*(1-Входы!$C$73)*E317*12</f>
        <v>49150.080000000038</v>
      </c>
      <c r="G317" s="8">
        <f>(Входы!$C$67-Входы!$C$68)*Входы!$C$8/Входы!$C$9*E317*12</f>
        <v>56078.00150002884</v>
      </c>
      <c r="H317" s="8">
        <f>Входы!$C$5*Входы!$C$71*B317*C317*(1-D317)*E317*12</f>
        <v>1200.0000000000009</v>
      </c>
      <c r="I317" s="8">
        <f t="shared" si="8"/>
        <v>106428.08150002887</v>
      </c>
      <c r="J317" s="8">
        <f>I317-Входы!$C$75*12-Входы!$C$77-Входы!$C$78-Входы!$C$79*Входы!$C$8/Входы!$C$9</f>
        <v>-304802.80755552993</v>
      </c>
      <c r="K317" s="24" t="str">
        <f t="shared" si="9"/>
        <v>Да</v>
      </c>
    </row>
    <row r="318" spans="1:11" x14ac:dyDescent="0.25">
      <c r="A318" s="24">
        <f>Входы!$C$5*Входы!$C$6*Входы!$C$7</f>
        <v>222600</v>
      </c>
      <c r="B318" s="25">
        <v>0.5</v>
      </c>
      <c r="C318" s="25">
        <v>1</v>
      </c>
      <c r="D318" s="25">
        <v>0.98</v>
      </c>
      <c r="E318" s="19">
        <v>3</v>
      </c>
      <c r="F318" s="8">
        <f>A318*B318*C318*(1-D318)*(1-Входы!$C$73)*E318*12</f>
        <v>73725.120000000054</v>
      </c>
      <c r="G318" s="8">
        <f>(Входы!$C$67-Входы!$C$68)*Входы!$C$8/Входы!$C$9*E318*12</f>
        <v>84117.002250043268</v>
      </c>
      <c r="H318" s="8">
        <f>Входы!$C$5*Входы!$C$71*B318*C318*(1-D318)*E318*12</f>
        <v>1800.0000000000014</v>
      </c>
      <c r="I318" s="8">
        <f t="shared" si="8"/>
        <v>159642.12225004332</v>
      </c>
      <c r="J318" s="8">
        <f>I318-Входы!$C$75*12-Входы!$C$77-Входы!$C$78-Входы!$C$79*Входы!$C$8/Входы!$C$9</f>
        <v>-251588.76680551545</v>
      </c>
      <c r="K318" s="24" t="str">
        <f t="shared" si="9"/>
        <v>Да</v>
      </c>
    </row>
    <row r="319" spans="1:11" x14ac:dyDescent="0.25">
      <c r="A319" s="24">
        <f>Входы!$C$5*Входы!$C$6*Входы!$C$7</f>
        <v>222600</v>
      </c>
      <c r="B319" s="25">
        <v>0.5</v>
      </c>
      <c r="C319" s="25">
        <v>1</v>
      </c>
      <c r="D319" s="25">
        <v>0.98</v>
      </c>
      <c r="E319" s="19">
        <v>4</v>
      </c>
      <c r="F319" s="8">
        <f>A319*B319*C319*(1-D319)*(1-Входы!$C$73)*E319*12</f>
        <v>98300.160000000076</v>
      </c>
      <c r="G319" s="8">
        <f>(Входы!$C$67-Входы!$C$68)*Входы!$C$8/Входы!$C$9*E319*12</f>
        <v>112156.00300005768</v>
      </c>
      <c r="H319" s="8">
        <f>Входы!$C$5*Входы!$C$71*B319*C319*(1-D319)*E319*12</f>
        <v>2400.0000000000018</v>
      </c>
      <c r="I319" s="8">
        <f t="shared" si="8"/>
        <v>212856.16300005774</v>
      </c>
      <c r="J319" s="8">
        <f>I319-Входы!$C$75*12-Входы!$C$77-Входы!$C$78-Входы!$C$79*Входы!$C$8/Входы!$C$9</f>
        <v>-198374.72605550103</v>
      </c>
      <c r="K319" s="24" t="str">
        <f t="shared" si="9"/>
        <v>Да</v>
      </c>
    </row>
    <row r="320" spans="1:11" x14ac:dyDescent="0.25">
      <c r="A320" s="24">
        <f>Входы!$C$5*Входы!$C$6*Входы!$C$7</f>
        <v>222600</v>
      </c>
      <c r="B320" s="25">
        <v>0.8</v>
      </c>
      <c r="C320" s="25">
        <v>0.3</v>
      </c>
      <c r="D320" s="25">
        <v>0</v>
      </c>
      <c r="E320" s="19">
        <v>0</v>
      </c>
      <c r="F320" s="8">
        <f>A320*B320*C320*(1-D320)*(1-Входы!$C$73)*E320*12</f>
        <v>0</v>
      </c>
      <c r="G320" s="8">
        <f>(Входы!$C$67-Входы!$C$68)*Входы!$C$8/Входы!$C$9*E320*12</f>
        <v>0</v>
      </c>
      <c r="H320" s="8">
        <f>Входы!$C$5*Входы!$C$71*B320*C320*(1-D320)*E320*12</f>
        <v>0</v>
      </c>
      <c r="I320" s="8">
        <f t="shared" si="8"/>
        <v>0</v>
      </c>
      <c r="J320" s="8">
        <f>I320-Входы!$C$75*12-Входы!$C$77-Входы!$C$78-Входы!$C$79*Входы!$C$8/Входы!$C$9</f>
        <v>-411230.88905555877</v>
      </c>
      <c r="K320" s="24" t="str">
        <f t="shared" si="9"/>
        <v>Да</v>
      </c>
    </row>
    <row r="321" spans="1:11" x14ac:dyDescent="0.25">
      <c r="A321" s="24">
        <f>Входы!$C$5*Входы!$C$6*Входы!$C$7</f>
        <v>222600</v>
      </c>
      <c r="B321" s="25">
        <v>0.8</v>
      </c>
      <c r="C321" s="25">
        <v>0.3</v>
      </c>
      <c r="D321" s="25">
        <v>0</v>
      </c>
      <c r="E321" s="19">
        <v>1</v>
      </c>
      <c r="F321" s="8">
        <f>A321*B321*C321*(1-D321)*(1-Входы!$C$73)*E321*12</f>
        <v>589800.95999999996</v>
      </c>
      <c r="G321" s="8">
        <f>(Входы!$C$67-Входы!$C$68)*Входы!$C$8/Входы!$C$9*E321*12</f>
        <v>28039.00075001442</v>
      </c>
      <c r="H321" s="8">
        <f>Входы!$C$5*Входы!$C$71*B321*C321*(1-D321)*E321*12</f>
        <v>14400</v>
      </c>
      <c r="I321" s="8">
        <f t="shared" si="8"/>
        <v>632239.9607500144</v>
      </c>
      <c r="J321" s="8">
        <f>I321-Входы!$C$75*12-Входы!$C$77-Входы!$C$78-Входы!$C$79*Входы!$C$8/Входы!$C$9</f>
        <v>221009.07169445563</v>
      </c>
      <c r="K321" s="24" t="str">
        <f t="shared" si="9"/>
        <v>Нет</v>
      </c>
    </row>
    <row r="322" spans="1:11" x14ac:dyDescent="0.25">
      <c r="A322" s="24">
        <f>Входы!$C$5*Входы!$C$6*Входы!$C$7</f>
        <v>222600</v>
      </c>
      <c r="B322" s="25">
        <v>0.8</v>
      </c>
      <c r="C322" s="25">
        <v>0.3</v>
      </c>
      <c r="D322" s="25">
        <v>0</v>
      </c>
      <c r="E322" s="19">
        <v>2</v>
      </c>
      <c r="F322" s="8">
        <f>A322*B322*C322*(1-D322)*(1-Входы!$C$73)*E322*12</f>
        <v>1179601.9199999999</v>
      </c>
      <c r="G322" s="8">
        <f>(Входы!$C$67-Входы!$C$68)*Входы!$C$8/Входы!$C$9*E322*12</f>
        <v>56078.00150002884</v>
      </c>
      <c r="H322" s="8">
        <f>Входы!$C$5*Входы!$C$71*B322*C322*(1-D322)*E322*12</f>
        <v>28800</v>
      </c>
      <c r="I322" s="8">
        <f t="shared" si="8"/>
        <v>1264479.9215000288</v>
      </c>
      <c r="J322" s="8">
        <f>I322-Входы!$C$75*12-Входы!$C$77-Входы!$C$78-Входы!$C$79*Входы!$C$8/Входы!$C$9</f>
        <v>853249.0324444701</v>
      </c>
      <c r="K322" s="24" t="str">
        <f t="shared" si="9"/>
        <v>Нет</v>
      </c>
    </row>
    <row r="323" spans="1:11" x14ac:dyDescent="0.25">
      <c r="A323" s="24">
        <f>Входы!$C$5*Входы!$C$6*Входы!$C$7</f>
        <v>222600</v>
      </c>
      <c r="B323" s="25">
        <v>0.8</v>
      </c>
      <c r="C323" s="25">
        <v>0.3</v>
      </c>
      <c r="D323" s="25">
        <v>0</v>
      </c>
      <c r="E323" s="19">
        <v>3</v>
      </c>
      <c r="F323" s="8">
        <f>A323*B323*C323*(1-D323)*(1-Входы!$C$73)*E323*12</f>
        <v>1769402.88</v>
      </c>
      <c r="G323" s="8">
        <f>(Входы!$C$67-Входы!$C$68)*Входы!$C$8/Входы!$C$9*E323*12</f>
        <v>84117.002250043268</v>
      </c>
      <c r="H323" s="8">
        <f>Входы!$C$5*Входы!$C$71*B323*C323*(1-D323)*E323*12</f>
        <v>43200</v>
      </c>
      <c r="I323" s="8">
        <f t="shared" si="8"/>
        <v>1896719.8822500431</v>
      </c>
      <c r="J323" s="8">
        <f>I323-Входы!$C$75*12-Входы!$C$77-Входы!$C$78-Входы!$C$79*Входы!$C$8/Входы!$C$9</f>
        <v>1485488.9931944844</v>
      </c>
      <c r="K323" s="24" t="str">
        <f t="shared" si="9"/>
        <v>Нет</v>
      </c>
    </row>
    <row r="324" spans="1:11" x14ac:dyDescent="0.25">
      <c r="A324" s="24">
        <f>Входы!$C$5*Входы!$C$6*Входы!$C$7</f>
        <v>222600</v>
      </c>
      <c r="B324" s="25">
        <v>0.8</v>
      </c>
      <c r="C324" s="25">
        <v>0.3</v>
      </c>
      <c r="D324" s="25">
        <v>0</v>
      </c>
      <c r="E324" s="19">
        <v>4</v>
      </c>
      <c r="F324" s="8">
        <f>A324*B324*C324*(1-D324)*(1-Входы!$C$73)*E324*12</f>
        <v>2359203.8399999999</v>
      </c>
      <c r="G324" s="8">
        <f>(Входы!$C$67-Входы!$C$68)*Входы!$C$8/Входы!$C$9*E324*12</f>
        <v>112156.00300005768</v>
      </c>
      <c r="H324" s="8">
        <f>Входы!$C$5*Входы!$C$71*B324*C324*(1-D324)*E324*12</f>
        <v>57600</v>
      </c>
      <c r="I324" s="8">
        <f t="shared" si="8"/>
        <v>2528959.8430000576</v>
      </c>
      <c r="J324" s="8">
        <f>I324-Входы!$C$75*12-Входы!$C$77-Входы!$C$78-Входы!$C$79*Входы!$C$8/Входы!$C$9</f>
        <v>2117728.9539444987</v>
      </c>
      <c r="K324" s="24" t="str">
        <f t="shared" si="9"/>
        <v>Нет</v>
      </c>
    </row>
    <row r="325" spans="1:11" x14ac:dyDescent="0.25">
      <c r="A325" s="24">
        <f>Входы!$C$5*Входы!$C$6*Входы!$C$7</f>
        <v>222600</v>
      </c>
      <c r="B325" s="25">
        <v>0.8</v>
      </c>
      <c r="C325" s="25">
        <v>0.3</v>
      </c>
      <c r="D325" s="25">
        <v>0.8</v>
      </c>
      <c r="E325" s="19">
        <v>0</v>
      </c>
      <c r="F325" s="8">
        <f>A325*B325*C325*(1-D325)*(1-Входы!$C$73)*E325*12</f>
        <v>0</v>
      </c>
      <c r="G325" s="8">
        <f>(Входы!$C$67-Входы!$C$68)*Входы!$C$8/Входы!$C$9*E325*12</f>
        <v>0</v>
      </c>
      <c r="H325" s="8">
        <f>Входы!$C$5*Входы!$C$71*B325*C325*(1-D325)*E325*12</f>
        <v>0</v>
      </c>
      <c r="I325" s="8">
        <f t="shared" ref="I325:I388" si="10">SUM(F325:H325)</f>
        <v>0</v>
      </c>
      <c r="J325" s="8">
        <f>I325-Входы!$C$75*12-Входы!$C$77-Входы!$C$78-Входы!$C$79*Входы!$C$8/Входы!$C$9</f>
        <v>-411230.88905555877</v>
      </c>
      <c r="K325" s="24" t="str">
        <f t="shared" ref="K325:K388" si="11">IF(J325&lt;=0,"Да","Нет")</f>
        <v>Да</v>
      </c>
    </row>
    <row r="326" spans="1:11" x14ac:dyDescent="0.25">
      <c r="A326" s="24">
        <f>Входы!$C$5*Входы!$C$6*Входы!$C$7</f>
        <v>222600</v>
      </c>
      <c r="B326" s="25">
        <v>0.8</v>
      </c>
      <c r="C326" s="25">
        <v>0.3</v>
      </c>
      <c r="D326" s="25">
        <v>0.8</v>
      </c>
      <c r="E326" s="19">
        <v>1</v>
      </c>
      <c r="F326" s="8">
        <f>A326*B326*C326*(1-D326)*(1-Входы!$C$73)*E326*12</f>
        <v>117960.19199999998</v>
      </c>
      <c r="G326" s="8">
        <f>(Входы!$C$67-Входы!$C$68)*Входы!$C$8/Входы!$C$9*E326*12</f>
        <v>28039.00075001442</v>
      </c>
      <c r="H326" s="8">
        <f>Входы!$C$5*Входы!$C$71*B326*C326*(1-D326)*E326*12</f>
        <v>2879.9999999999991</v>
      </c>
      <c r="I326" s="8">
        <f t="shared" si="10"/>
        <v>148879.19275001439</v>
      </c>
      <c r="J326" s="8">
        <f>I326-Входы!$C$75*12-Входы!$C$77-Входы!$C$78-Входы!$C$79*Входы!$C$8/Входы!$C$9</f>
        <v>-262351.69630554435</v>
      </c>
      <c r="K326" s="24" t="str">
        <f t="shared" si="11"/>
        <v>Да</v>
      </c>
    </row>
    <row r="327" spans="1:11" x14ac:dyDescent="0.25">
      <c r="A327" s="24">
        <f>Входы!$C$5*Входы!$C$6*Входы!$C$7</f>
        <v>222600</v>
      </c>
      <c r="B327" s="25">
        <v>0.8</v>
      </c>
      <c r="C327" s="25">
        <v>0.3</v>
      </c>
      <c r="D327" s="25">
        <v>0.8</v>
      </c>
      <c r="E327" s="19">
        <v>2</v>
      </c>
      <c r="F327" s="8">
        <f>A327*B327*C327*(1-D327)*(1-Входы!$C$73)*E327*12</f>
        <v>235920.38399999996</v>
      </c>
      <c r="G327" s="8">
        <f>(Входы!$C$67-Входы!$C$68)*Входы!$C$8/Входы!$C$9*E327*12</f>
        <v>56078.00150002884</v>
      </c>
      <c r="H327" s="8">
        <f>Входы!$C$5*Входы!$C$71*B327*C327*(1-D327)*E327*12</f>
        <v>5759.9999999999982</v>
      </c>
      <c r="I327" s="8">
        <f t="shared" si="10"/>
        <v>297758.38550002879</v>
      </c>
      <c r="J327" s="8">
        <f>I327-Входы!$C$75*12-Входы!$C$77-Входы!$C$78-Входы!$C$79*Входы!$C$8/Входы!$C$9</f>
        <v>-113472.50355552997</v>
      </c>
      <c r="K327" s="24" t="str">
        <f t="shared" si="11"/>
        <v>Да</v>
      </c>
    </row>
    <row r="328" spans="1:11" x14ac:dyDescent="0.25">
      <c r="A328" s="24">
        <f>Входы!$C$5*Входы!$C$6*Входы!$C$7</f>
        <v>222600</v>
      </c>
      <c r="B328" s="25">
        <v>0.8</v>
      </c>
      <c r="C328" s="25">
        <v>0.3</v>
      </c>
      <c r="D328" s="25">
        <v>0.8</v>
      </c>
      <c r="E328" s="19">
        <v>3</v>
      </c>
      <c r="F328" s="8">
        <f>A328*B328*C328*(1-D328)*(1-Входы!$C$73)*E328*12</f>
        <v>353880.57599999994</v>
      </c>
      <c r="G328" s="8">
        <f>(Входы!$C$67-Входы!$C$68)*Входы!$C$8/Входы!$C$9*E328*12</f>
        <v>84117.002250043268</v>
      </c>
      <c r="H328" s="8">
        <f>Входы!$C$5*Входы!$C$71*B328*C328*(1-D328)*E328*12</f>
        <v>8639.9999999999964</v>
      </c>
      <c r="I328" s="8">
        <f t="shared" si="10"/>
        <v>446637.57825004321</v>
      </c>
      <c r="J328" s="8">
        <f>I328-Входы!$C$75*12-Входы!$C$77-Входы!$C$78-Входы!$C$79*Входы!$C$8/Входы!$C$9</f>
        <v>35406.689194484454</v>
      </c>
      <c r="K328" s="24" t="str">
        <f t="shared" si="11"/>
        <v>Нет</v>
      </c>
    </row>
    <row r="329" spans="1:11" x14ac:dyDescent="0.25">
      <c r="A329" s="24">
        <f>Входы!$C$5*Входы!$C$6*Входы!$C$7</f>
        <v>222600</v>
      </c>
      <c r="B329" s="25">
        <v>0.8</v>
      </c>
      <c r="C329" s="25">
        <v>0.3</v>
      </c>
      <c r="D329" s="25">
        <v>0.8</v>
      </c>
      <c r="E329" s="19">
        <v>4</v>
      </c>
      <c r="F329" s="8">
        <f>A329*B329*C329*(1-D329)*(1-Входы!$C$73)*E329*12</f>
        <v>471840.76799999992</v>
      </c>
      <c r="G329" s="8">
        <f>(Входы!$C$67-Входы!$C$68)*Входы!$C$8/Входы!$C$9*E329*12</f>
        <v>112156.00300005768</v>
      </c>
      <c r="H329" s="8">
        <f>Входы!$C$5*Входы!$C$71*B329*C329*(1-D329)*E329*12</f>
        <v>11519.999999999996</v>
      </c>
      <c r="I329" s="8">
        <f t="shared" si="10"/>
        <v>595516.77100005758</v>
      </c>
      <c r="J329" s="8">
        <f>I329-Входы!$C$75*12-Входы!$C$77-Входы!$C$78-Входы!$C$79*Входы!$C$8/Входы!$C$9</f>
        <v>184285.8819444988</v>
      </c>
      <c r="K329" s="24" t="str">
        <f t="shared" si="11"/>
        <v>Нет</v>
      </c>
    </row>
    <row r="330" spans="1:11" x14ac:dyDescent="0.25">
      <c r="A330" s="24">
        <f>Входы!$C$5*Входы!$C$6*Входы!$C$7</f>
        <v>222600</v>
      </c>
      <c r="B330" s="25">
        <v>0.8</v>
      </c>
      <c r="C330" s="25">
        <v>0.3</v>
      </c>
      <c r="D330" s="25">
        <v>0.98</v>
      </c>
      <c r="E330" s="19">
        <v>0</v>
      </c>
      <c r="F330" s="8">
        <f>A330*B330*C330*(1-D330)*(1-Входы!$C$73)*E330*12</f>
        <v>0</v>
      </c>
      <c r="G330" s="8">
        <f>(Входы!$C$67-Входы!$C$68)*Входы!$C$8/Входы!$C$9*E330*12</f>
        <v>0</v>
      </c>
      <c r="H330" s="8">
        <f>Входы!$C$5*Входы!$C$71*B330*C330*(1-D330)*E330*12</f>
        <v>0</v>
      </c>
      <c r="I330" s="8">
        <f t="shared" si="10"/>
        <v>0</v>
      </c>
      <c r="J330" s="8">
        <f>I330-Входы!$C$75*12-Входы!$C$77-Входы!$C$78-Входы!$C$79*Входы!$C$8/Входы!$C$9</f>
        <v>-411230.88905555877</v>
      </c>
      <c r="K330" s="24" t="str">
        <f t="shared" si="11"/>
        <v>Да</v>
      </c>
    </row>
    <row r="331" spans="1:11" x14ac:dyDescent="0.25">
      <c r="A331" s="24">
        <f>Входы!$C$5*Входы!$C$6*Входы!$C$7</f>
        <v>222600</v>
      </c>
      <c r="B331" s="25">
        <v>0.8</v>
      </c>
      <c r="C331" s="25">
        <v>0.3</v>
      </c>
      <c r="D331" s="25">
        <v>0.98</v>
      </c>
      <c r="E331" s="19">
        <v>1</v>
      </c>
      <c r="F331" s="8">
        <f>A331*B331*C331*(1-D331)*(1-Входы!$C$73)*E331*12</f>
        <v>11796.01920000001</v>
      </c>
      <c r="G331" s="8">
        <f>(Входы!$C$67-Входы!$C$68)*Входы!$C$8/Входы!$C$9*E331*12</f>
        <v>28039.00075001442</v>
      </c>
      <c r="H331" s="8">
        <f>Входы!$C$5*Входы!$C$71*B331*C331*(1-D331)*E331*12</f>
        <v>288.00000000000023</v>
      </c>
      <c r="I331" s="8">
        <f t="shared" si="10"/>
        <v>40123.01995001443</v>
      </c>
      <c r="J331" s="8">
        <f>I331-Входы!$C$75*12-Входы!$C$77-Входы!$C$78-Входы!$C$79*Входы!$C$8/Входы!$C$9</f>
        <v>-371107.86910554435</v>
      </c>
      <c r="K331" s="24" t="str">
        <f t="shared" si="11"/>
        <v>Да</v>
      </c>
    </row>
    <row r="332" spans="1:11" x14ac:dyDescent="0.25">
      <c r="A332" s="24">
        <f>Входы!$C$5*Входы!$C$6*Входы!$C$7</f>
        <v>222600</v>
      </c>
      <c r="B332" s="25">
        <v>0.8</v>
      </c>
      <c r="C332" s="25">
        <v>0.3</v>
      </c>
      <c r="D332" s="25">
        <v>0.98</v>
      </c>
      <c r="E332" s="19">
        <v>2</v>
      </c>
      <c r="F332" s="8">
        <f>A332*B332*C332*(1-D332)*(1-Входы!$C$73)*E332*12</f>
        <v>23592.038400000019</v>
      </c>
      <c r="G332" s="8">
        <f>(Входы!$C$67-Входы!$C$68)*Входы!$C$8/Входы!$C$9*E332*12</f>
        <v>56078.00150002884</v>
      </c>
      <c r="H332" s="8">
        <f>Входы!$C$5*Входы!$C$71*B332*C332*(1-D332)*E332*12</f>
        <v>576.00000000000045</v>
      </c>
      <c r="I332" s="8">
        <f t="shared" si="10"/>
        <v>80246.03990002886</v>
      </c>
      <c r="J332" s="8">
        <f>I332-Входы!$C$75*12-Входы!$C$77-Входы!$C$78-Входы!$C$79*Входы!$C$8/Входы!$C$9</f>
        <v>-330984.84915552993</v>
      </c>
      <c r="K332" s="24" t="str">
        <f t="shared" si="11"/>
        <v>Да</v>
      </c>
    </row>
    <row r="333" spans="1:11" x14ac:dyDescent="0.25">
      <c r="A333" s="24">
        <f>Входы!$C$5*Входы!$C$6*Входы!$C$7</f>
        <v>222600</v>
      </c>
      <c r="B333" s="25">
        <v>0.8</v>
      </c>
      <c r="C333" s="25">
        <v>0.3</v>
      </c>
      <c r="D333" s="25">
        <v>0.98</v>
      </c>
      <c r="E333" s="19">
        <v>3</v>
      </c>
      <c r="F333" s="8">
        <f>A333*B333*C333*(1-D333)*(1-Входы!$C$73)*E333*12</f>
        <v>35388.057600000029</v>
      </c>
      <c r="G333" s="8">
        <f>(Входы!$C$67-Входы!$C$68)*Входы!$C$8/Входы!$C$9*E333*12</f>
        <v>84117.002250043268</v>
      </c>
      <c r="H333" s="8">
        <f>Входы!$C$5*Входы!$C$71*B333*C333*(1-D333)*E333*12</f>
        <v>864.00000000000068</v>
      </c>
      <c r="I333" s="8">
        <f t="shared" si="10"/>
        <v>120369.0598500433</v>
      </c>
      <c r="J333" s="8">
        <f>I333-Входы!$C$75*12-Входы!$C$77-Входы!$C$78-Входы!$C$79*Входы!$C$8/Входы!$C$9</f>
        <v>-290861.8292055155</v>
      </c>
      <c r="K333" s="24" t="str">
        <f t="shared" si="11"/>
        <v>Да</v>
      </c>
    </row>
    <row r="334" spans="1:11" x14ac:dyDescent="0.25">
      <c r="A334" s="24">
        <f>Входы!$C$5*Входы!$C$6*Входы!$C$7</f>
        <v>222600</v>
      </c>
      <c r="B334" s="25">
        <v>0.8</v>
      </c>
      <c r="C334" s="25">
        <v>0.3</v>
      </c>
      <c r="D334" s="25">
        <v>0.98</v>
      </c>
      <c r="E334" s="19">
        <v>4</v>
      </c>
      <c r="F334" s="8">
        <f>A334*B334*C334*(1-D334)*(1-Входы!$C$73)*E334*12</f>
        <v>47184.076800000039</v>
      </c>
      <c r="G334" s="8">
        <f>(Входы!$C$67-Входы!$C$68)*Входы!$C$8/Входы!$C$9*E334*12</f>
        <v>112156.00300005768</v>
      </c>
      <c r="H334" s="8">
        <f>Входы!$C$5*Входы!$C$71*B334*C334*(1-D334)*E334*12</f>
        <v>1152.0000000000009</v>
      </c>
      <c r="I334" s="8">
        <f t="shared" si="10"/>
        <v>160492.07980005772</v>
      </c>
      <c r="J334" s="8">
        <f>I334-Входы!$C$75*12-Входы!$C$77-Входы!$C$78-Входы!$C$79*Входы!$C$8/Входы!$C$9</f>
        <v>-250738.80925550105</v>
      </c>
      <c r="K334" s="24" t="str">
        <f t="shared" si="11"/>
        <v>Да</v>
      </c>
    </row>
    <row r="335" spans="1:11" x14ac:dyDescent="0.25">
      <c r="A335" s="24">
        <f>Входы!$C$5*Входы!$C$6*Входы!$C$7</f>
        <v>222600</v>
      </c>
      <c r="B335" s="25">
        <v>0.8</v>
      </c>
      <c r="C335" s="25">
        <v>0.6</v>
      </c>
      <c r="D335" s="25">
        <v>0</v>
      </c>
      <c r="E335" s="19">
        <v>0</v>
      </c>
      <c r="F335" s="8">
        <f>A335*B335*C335*(1-D335)*(1-Входы!$C$73)*E335*12</f>
        <v>0</v>
      </c>
      <c r="G335" s="8">
        <f>(Входы!$C$67-Входы!$C$68)*Входы!$C$8/Входы!$C$9*E335*12</f>
        <v>0</v>
      </c>
      <c r="H335" s="8">
        <f>Входы!$C$5*Входы!$C$71*B335*C335*(1-D335)*E335*12</f>
        <v>0</v>
      </c>
      <c r="I335" s="8">
        <f t="shared" si="10"/>
        <v>0</v>
      </c>
      <c r="J335" s="8">
        <f>I335-Входы!$C$75*12-Входы!$C$77-Входы!$C$78-Входы!$C$79*Входы!$C$8/Входы!$C$9</f>
        <v>-411230.88905555877</v>
      </c>
      <c r="K335" s="24" t="str">
        <f t="shared" si="11"/>
        <v>Да</v>
      </c>
    </row>
    <row r="336" spans="1:11" x14ac:dyDescent="0.25">
      <c r="A336" s="24">
        <f>Входы!$C$5*Входы!$C$6*Входы!$C$7</f>
        <v>222600</v>
      </c>
      <c r="B336" s="25">
        <v>0.8</v>
      </c>
      <c r="C336" s="25">
        <v>0.6</v>
      </c>
      <c r="D336" s="25">
        <v>0</v>
      </c>
      <c r="E336" s="19">
        <v>1</v>
      </c>
      <c r="F336" s="8">
        <f>A336*B336*C336*(1-D336)*(1-Входы!$C$73)*E336*12</f>
        <v>1179601.9199999999</v>
      </c>
      <c r="G336" s="8">
        <f>(Входы!$C$67-Входы!$C$68)*Входы!$C$8/Входы!$C$9*E336*12</f>
        <v>28039.00075001442</v>
      </c>
      <c r="H336" s="8">
        <f>Входы!$C$5*Входы!$C$71*B336*C336*(1-D336)*E336*12</f>
        <v>28800</v>
      </c>
      <c r="I336" s="8">
        <f t="shared" si="10"/>
        <v>1236440.9207500143</v>
      </c>
      <c r="J336" s="8">
        <f>I336-Входы!$C$75*12-Входы!$C$77-Входы!$C$78-Входы!$C$79*Входы!$C$8/Входы!$C$9</f>
        <v>825210.03169445554</v>
      </c>
      <c r="K336" s="24" t="str">
        <f t="shared" si="11"/>
        <v>Нет</v>
      </c>
    </row>
    <row r="337" spans="1:11" x14ac:dyDescent="0.25">
      <c r="A337" s="24">
        <f>Входы!$C$5*Входы!$C$6*Входы!$C$7</f>
        <v>222600</v>
      </c>
      <c r="B337" s="25">
        <v>0.8</v>
      </c>
      <c r="C337" s="25">
        <v>0.6</v>
      </c>
      <c r="D337" s="25">
        <v>0</v>
      </c>
      <c r="E337" s="19">
        <v>2</v>
      </c>
      <c r="F337" s="8">
        <f>A337*B337*C337*(1-D337)*(1-Входы!$C$73)*E337*12</f>
        <v>2359203.8399999999</v>
      </c>
      <c r="G337" s="8">
        <f>(Входы!$C$67-Входы!$C$68)*Входы!$C$8/Входы!$C$9*E337*12</f>
        <v>56078.00150002884</v>
      </c>
      <c r="H337" s="8">
        <f>Входы!$C$5*Входы!$C$71*B337*C337*(1-D337)*E337*12</f>
        <v>57600</v>
      </c>
      <c r="I337" s="8">
        <f t="shared" si="10"/>
        <v>2472881.8415000285</v>
      </c>
      <c r="J337" s="8">
        <f>I337-Входы!$C$75*12-Входы!$C$77-Входы!$C$78-Входы!$C$79*Входы!$C$8/Входы!$C$9</f>
        <v>2061650.9524444698</v>
      </c>
      <c r="K337" s="24" t="str">
        <f t="shared" si="11"/>
        <v>Нет</v>
      </c>
    </row>
    <row r="338" spans="1:11" x14ac:dyDescent="0.25">
      <c r="A338" s="24">
        <f>Входы!$C$5*Входы!$C$6*Входы!$C$7</f>
        <v>222600</v>
      </c>
      <c r="B338" s="25">
        <v>0.8</v>
      </c>
      <c r="C338" s="25">
        <v>0.6</v>
      </c>
      <c r="D338" s="25">
        <v>0</v>
      </c>
      <c r="E338" s="19">
        <v>3</v>
      </c>
      <c r="F338" s="8">
        <f>A338*B338*C338*(1-D338)*(1-Входы!$C$73)*E338*12</f>
        <v>3538805.76</v>
      </c>
      <c r="G338" s="8">
        <f>(Входы!$C$67-Входы!$C$68)*Входы!$C$8/Входы!$C$9*E338*12</f>
        <v>84117.002250043268</v>
      </c>
      <c r="H338" s="8">
        <f>Входы!$C$5*Входы!$C$71*B338*C338*(1-D338)*E338*12</f>
        <v>86400</v>
      </c>
      <c r="I338" s="8">
        <f t="shared" si="10"/>
        <v>3709322.762250043</v>
      </c>
      <c r="J338" s="8">
        <f>I338-Входы!$C$75*12-Входы!$C$77-Входы!$C$78-Входы!$C$79*Входы!$C$8/Входы!$C$9</f>
        <v>3298091.873194484</v>
      </c>
      <c r="K338" s="24" t="str">
        <f t="shared" si="11"/>
        <v>Нет</v>
      </c>
    </row>
    <row r="339" spans="1:11" x14ac:dyDescent="0.25">
      <c r="A339" s="24">
        <f>Входы!$C$5*Входы!$C$6*Входы!$C$7</f>
        <v>222600</v>
      </c>
      <c r="B339" s="25">
        <v>0.8</v>
      </c>
      <c r="C339" s="25">
        <v>0.6</v>
      </c>
      <c r="D339" s="25">
        <v>0</v>
      </c>
      <c r="E339" s="19">
        <v>4</v>
      </c>
      <c r="F339" s="8">
        <f>A339*B339*C339*(1-D339)*(1-Входы!$C$73)*E339*12</f>
        <v>4718407.6799999997</v>
      </c>
      <c r="G339" s="8">
        <f>(Входы!$C$67-Входы!$C$68)*Входы!$C$8/Входы!$C$9*E339*12</f>
        <v>112156.00300005768</v>
      </c>
      <c r="H339" s="8">
        <f>Входы!$C$5*Входы!$C$71*B339*C339*(1-D339)*E339*12</f>
        <v>115200</v>
      </c>
      <c r="I339" s="8">
        <f t="shared" si="10"/>
        <v>4945763.683000057</v>
      </c>
      <c r="J339" s="8">
        <f>I339-Входы!$C$75*12-Входы!$C$77-Входы!$C$78-Входы!$C$79*Входы!$C$8/Входы!$C$9</f>
        <v>4534532.7939444985</v>
      </c>
      <c r="K339" s="24" t="str">
        <f t="shared" si="11"/>
        <v>Нет</v>
      </c>
    </row>
    <row r="340" spans="1:11" x14ac:dyDescent="0.25">
      <c r="A340" s="24">
        <f>Входы!$C$5*Входы!$C$6*Входы!$C$7</f>
        <v>222600</v>
      </c>
      <c r="B340" s="25">
        <v>0.8</v>
      </c>
      <c r="C340" s="25">
        <v>0.6</v>
      </c>
      <c r="D340" s="25">
        <v>0.8</v>
      </c>
      <c r="E340" s="19">
        <v>0</v>
      </c>
      <c r="F340" s="8">
        <f>A340*B340*C340*(1-D340)*(1-Входы!$C$73)*E340*12</f>
        <v>0</v>
      </c>
      <c r="G340" s="8">
        <f>(Входы!$C$67-Входы!$C$68)*Входы!$C$8/Входы!$C$9*E340*12</f>
        <v>0</v>
      </c>
      <c r="H340" s="8">
        <f>Входы!$C$5*Входы!$C$71*B340*C340*(1-D340)*E340*12</f>
        <v>0</v>
      </c>
      <c r="I340" s="8">
        <f t="shared" si="10"/>
        <v>0</v>
      </c>
      <c r="J340" s="8">
        <f>I340-Входы!$C$75*12-Входы!$C$77-Входы!$C$78-Входы!$C$79*Входы!$C$8/Входы!$C$9</f>
        <v>-411230.88905555877</v>
      </c>
      <c r="K340" s="24" t="str">
        <f t="shared" si="11"/>
        <v>Да</v>
      </c>
    </row>
    <row r="341" spans="1:11" x14ac:dyDescent="0.25">
      <c r="A341" s="24">
        <f>Входы!$C$5*Входы!$C$6*Входы!$C$7</f>
        <v>222600</v>
      </c>
      <c r="B341" s="25">
        <v>0.8</v>
      </c>
      <c r="C341" s="25">
        <v>0.6</v>
      </c>
      <c r="D341" s="25">
        <v>0.8</v>
      </c>
      <c r="E341" s="19">
        <v>1</v>
      </c>
      <c r="F341" s="8">
        <f>A341*B341*C341*(1-D341)*(1-Входы!$C$73)*E341*12</f>
        <v>235920.38399999996</v>
      </c>
      <c r="G341" s="8">
        <f>(Входы!$C$67-Входы!$C$68)*Входы!$C$8/Входы!$C$9*E341*12</f>
        <v>28039.00075001442</v>
      </c>
      <c r="H341" s="8">
        <f>Входы!$C$5*Входы!$C$71*B341*C341*(1-D341)*E341*12</f>
        <v>5759.9999999999982</v>
      </c>
      <c r="I341" s="8">
        <f t="shared" si="10"/>
        <v>269719.3847500144</v>
      </c>
      <c r="J341" s="8">
        <f>I341-Входы!$C$75*12-Входы!$C$77-Входы!$C$78-Входы!$C$79*Входы!$C$8/Входы!$C$9</f>
        <v>-141511.50430554437</v>
      </c>
      <c r="K341" s="24" t="str">
        <f t="shared" si="11"/>
        <v>Да</v>
      </c>
    </row>
    <row r="342" spans="1:11" x14ac:dyDescent="0.25">
      <c r="A342" s="24">
        <f>Входы!$C$5*Входы!$C$6*Входы!$C$7</f>
        <v>222600</v>
      </c>
      <c r="B342" s="25">
        <v>0.8</v>
      </c>
      <c r="C342" s="25">
        <v>0.6</v>
      </c>
      <c r="D342" s="25">
        <v>0.8</v>
      </c>
      <c r="E342" s="19">
        <v>2</v>
      </c>
      <c r="F342" s="8">
        <f>A342*B342*C342*(1-D342)*(1-Входы!$C$73)*E342*12</f>
        <v>471840.76799999992</v>
      </c>
      <c r="G342" s="8">
        <f>(Входы!$C$67-Входы!$C$68)*Входы!$C$8/Входы!$C$9*E342*12</f>
        <v>56078.00150002884</v>
      </c>
      <c r="H342" s="8">
        <f>Входы!$C$5*Входы!$C$71*B342*C342*(1-D342)*E342*12</f>
        <v>11519.999999999996</v>
      </c>
      <c r="I342" s="8">
        <f t="shared" si="10"/>
        <v>539438.76950002881</v>
      </c>
      <c r="J342" s="8">
        <f>I342-Входы!$C$75*12-Входы!$C$77-Входы!$C$78-Входы!$C$79*Входы!$C$8/Входы!$C$9</f>
        <v>128207.88044447005</v>
      </c>
      <c r="K342" s="24" t="str">
        <f t="shared" si="11"/>
        <v>Нет</v>
      </c>
    </row>
    <row r="343" spans="1:11" x14ac:dyDescent="0.25">
      <c r="A343" s="24">
        <f>Входы!$C$5*Входы!$C$6*Входы!$C$7</f>
        <v>222600</v>
      </c>
      <c r="B343" s="25">
        <v>0.8</v>
      </c>
      <c r="C343" s="25">
        <v>0.6</v>
      </c>
      <c r="D343" s="25">
        <v>0.8</v>
      </c>
      <c r="E343" s="19">
        <v>3</v>
      </c>
      <c r="F343" s="8">
        <f>A343*B343*C343*(1-D343)*(1-Входы!$C$73)*E343*12</f>
        <v>707761.15199999989</v>
      </c>
      <c r="G343" s="8">
        <f>(Входы!$C$67-Входы!$C$68)*Входы!$C$8/Входы!$C$9*E343*12</f>
        <v>84117.002250043268</v>
      </c>
      <c r="H343" s="8">
        <f>Входы!$C$5*Входы!$C$71*B343*C343*(1-D343)*E343*12</f>
        <v>17279.999999999993</v>
      </c>
      <c r="I343" s="8">
        <f t="shared" si="10"/>
        <v>809158.15425004321</v>
      </c>
      <c r="J343" s="8">
        <f>I343-Входы!$C$75*12-Входы!$C$77-Входы!$C$78-Входы!$C$79*Входы!$C$8/Входы!$C$9</f>
        <v>397927.26519448444</v>
      </c>
      <c r="K343" s="24" t="str">
        <f t="shared" si="11"/>
        <v>Нет</v>
      </c>
    </row>
    <row r="344" spans="1:11" x14ac:dyDescent="0.25">
      <c r="A344" s="24">
        <f>Входы!$C$5*Входы!$C$6*Входы!$C$7</f>
        <v>222600</v>
      </c>
      <c r="B344" s="25">
        <v>0.8</v>
      </c>
      <c r="C344" s="25">
        <v>0.6</v>
      </c>
      <c r="D344" s="25">
        <v>0.8</v>
      </c>
      <c r="E344" s="19">
        <v>4</v>
      </c>
      <c r="F344" s="8">
        <f>A344*B344*C344*(1-D344)*(1-Входы!$C$73)*E344*12</f>
        <v>943681.53599999985</v>
      </c>
      <c r="G344" s="8">
        <f>(Входы!$C$67-Входы!$C$68)*Входы!$C$8/Входы!$C$9*E344*12</f>
        <v>112156.00300005768</v>
      </c>
      <c r="H344" s="8">
        <f>Входы!$C$5*Входы!$C$71*B344*C344*(1-D344)*E344*12</f>
        <v>23039.999999999993</v>
      </c>
      <c r="I344" s="8">
        <f t="shared" si="10"/>
        <v>1078877.5390000576</v>
      </c>
      <c r="J344" s="8">
        <f>I344-Входы!$C$75*12-Входы!$C$77-Входы!$C$78-Входы!$C$79*Входы!$C$8/Входы!$C$9</f>
        <v>667646.6499444989</v>
      </c>
      <c r="K344" s="24" t="str">
        <f t="shared" si="11"/>
        <v>Нет</v>
      </c>
    </row>
    <row r="345" spans="1:11" x14ac:dyDescent="0.25">
      <c r="A345" s="24">
        <f>Входы!$C$5*Входы!$C$6*Входы!$C$7</f>
        <v>222600</v>
      </c>
      <c r="B345" s="25">
        <v>0.8</v>
      </c>
      <c r="C345" s="25">
        <v>0.6</v>
      </c>
      <c r="D345" s="25">
        <v>0.98</v>
      </c>
      <c r="E345" s="19">
        <v>0</v>
      </c>
      <c r="F345" s="8">
        <f>A345*B345*C345*(1-D345)*(1-Входы!$C$73)*E345*12</f>
        <v>0</v>
      </c>
      <c r="G345" s="8">
        <f>(Входы!$C$67-Входы!$C$68)*Входы!$C$8/Входы!$C$9*E345*12</f>
        <v>0</v>
      </c>
      <c r="H345" s="8">
        <f>Входы!$C$5*Входы!$C$71*B345*C345*(1-D345)*E345*12</f>
        <v>0</v>
      </c>
      <c r="I345" s="8">
        <f t="shared" si="10"/>
        <v>0</v>
      </c>
      <c r="J345" s="8">
        <f>I345-Входы!$C$75*12-Входы!$C$77-Входы!$C$78-Входы!$C$79*Входы!$C$8/Входы!$C$9</f>
        <v>-411230.88905555877</v>
      </c>
      <c r="K345" s="24" t="str">
        <f t="shared" si="11"/>
        <v>Да</v>
      </c>
    </row>
    <row r="346" spans="1:11" x14ac:dyDescent="0.25">
      <c r="A346" s="24">
        <f>Входы!$C$5*Входы!$C$6*Входы!$C$7</f>
        <v>222600</v>
      </c>
      <c r="B346" s="25">
        <v>0.8</v>
      </c>
      <c r="C346" s="25">
        <v>0.6</v>
      </c>
      <c r="D346" s="25">
        <v>0.98</v>
      </c>
      <c r="E346" s="19">
        <v>1</v>
      </c>
      <c r="F346" s="8">
        <f>A346*B346*C346*(1-D346)*(1-Входы!$C$73)*E346*12</f>
        <v>23592.038400000019</v>
      </c>
      <c r="G346" s="8">
        <f>(Входы!$C$67-Входы!$C$68)*Входы!$C$8/Входы!$C$9*E346*12</f>
        <v>28039.00075001442</v>
      </c>
      <c r="H346" s="8">
        <f>Входы!$C$5*Входы!$C$71*B346*C346*(1-D346)*E346*12</f>
        <v>576.00000000000045</v>
      </c>
      <c r="I346" s="8">
        <f t="shared" si="10"/>
        <v>52207.03915001444</v>
      </c>
      <c r="J346" s="8">
        <f>I346-Входы!$C$75*12-Входы!$C$77-Входы!$C$78-Входы!$C$79*Входы!$C$8/Входы!$C$9</f>
        <v>-359023.84990554437</v>
      </c>
      <c r="K346" s="24" t="str">
        <f t="shared" si="11"/>
        <v>Да</v>
      </c>
    </row>
    <row r="347" spans="1:11" x14ac:dyDescent="0.25">
      <c r="A347" s="24">
        <f>Входы!$C$5*Входы!$C$6*Входы!$C$7</f>
        <v>222600</v>
      </c>
      <c r="B347" s="25">
        <v>0.8</v>
      </c>
      <c r="C347" s="25">
        <v>0.6</v>
      </c>
      <c r="D347" s="25">
        <v>0.98</v>
      </c>
      <c r="E347" s="19">
        <v>2</v>
      </c>
      <c r="F347" s="8">
        <f>A347*B347*C347*(1-D347)*(1-Входы!$C$73)*E347*12</f>
        <v>47184.076800000039</v>
      </c>
      <c r="G347" s="8">
        <f>(Входы!$C$67-Входы!$C$68)*Входы!$C$8/Входы!$C$9*E347*12</f>
        <v>56078.00150002884</v>
      </c>
      <c r="H347" s="8">
        <f>Входы!$C$5*Входы!$C$71*B347*C347*(1-D347)*E347*12</f>
        <v>1152.0000000000009</v>
      </c>
      <c r="I347" s="8">
        <f t="shared" si="10"/>
        <v>104414.07830002888</v>
      </c>
      <c r="J347" s="8">
        <f>I347-Входы!$C$75*12-Входы!$C$77-Входы!$C$78-Входы!$C$79*Входы!$C$8/Входы!$C$9</f>
        <v>-306816.81075552991</v>
      </c>
      <c r="K347" s="24" t="str">
        <f t="shared" si="11"/>
        <v>Да</v>
      </c>
    </row>
    <row r="348" spans="1:11" x14ac:dyDescent="0.25">
      <c r="A348" s="24">
        <f>Входы!$C$5*Входы!$C$6*Входы!$C$7</f>
        <v>222600</v>
      </c>
      <c r="B348" s="25">
        <v>0.8</v>
      </c>
      <c r="C348" s="25">
        <v>0.6</v>
      </c>
      <c r="D348" s="25">
        <v>0.98</v>
      </c>
      <c r="E348" s="19">
        <v>3</v>
      </c>
      <c r="F348" s="8">
        <f>A348*B348*C348*(1-D348)*(1-Входы!$C$73)*E348*12</f>
        <v>70776.115200000058</v>
      </c>
      <c r="G348" s="8">
        <f>(Входы!$C$67-Входы!$C$68)*Входы!$C$8/Входы!$C$9*E348*12</f>
        <v>84117.002250043268</v>
      </c>
      <c r="H348" s="8">
        <f>Входы!$C$5*Входы!$C$71*B348*C348*(1-D348)*E348*12</f>
        <v>1728.0000000000014</v>
      </c>
      <c r="I348" s="8">
        <f t="shared" si="10"/>
        <v>156621.11745004333</v>
      </c>
      <c r="J348" s="8">
        <f>I348-Входы!$C$75*12-Входы!$C$77-Входы!$C$78-Входы!$C$79*Входы!$C$8/Входы!$C$9</f>
        <v>-254609.77160551545</v>
      </c>
      <c r="K348" s="24" t="str">
        <f t="shared" si="11"/>
        <v>Да</v>
      </c>
    </row>
    <row r="349" spans="1:11" x14ac:dyDescent="0.25">
      <c r="A349" s="24">
        <f>Входы!$C$5*Входы!$C$6*Входы!$C$7</f>
        <v>222600</v>
      </c>
      <c r="B349" s="25">
        <v>0.8</v>
      </c>
      <c r="C349" s="25">
        <v>0.6</v>
      </c>
      <c r="D349" s="25">
        <v>0.98</v>
      </c>
      <c r="E349" s="19">
        <v>4</v>
      </c>
      <c r="F349" s="8">
        <f>A349*B349*C349*(1-D349)*(1-Входы!$C$73)*E349*12</f>
        <v>94368.153600000078</v>
      </c>
      <c r="G349" s="8">
        <f>(Входы!$C$67-Входы!$C$68)*Входы!$C$8/Входы!$C$9*E349*12</f>
        <v>112156.00300005768</v>
      </c>
      <c r="H349" s="8">
        <f>Входы!$C$5*Входы!$C$71*B349*C349*(1-D349)*E349*12</f>
        <v>2304.0000000000018</v>
      </c>
      <c r="I349" s="8">
        <f t="shared" si="10"/>
        <v>208828.15660005776</v>
      </c>
      <c r="J349" s="8">
        <f>I349-Входы!$C$75*12-Входы!$C$77-Входы!$C$78-Входы!$C$79*Входы!$C$8/Входы!$C$9</f>
        <v>-202402.73245550101</v>
      </c>
      <c r="K349" s="24" t="str">
        <f t="shared" si="11"/>
        <v>Да</v>
      </c>
    </row>
    <row r="350" spans="1:11" x14ac:dyDescent="0.25">
      <c r="A350" s="24">
        <f>Входы!$C$5*Входы!$C$6*Входы!$C$7</f>
        <v>222600</v>
      </c>
      <c r="B350" s="25">
        <v>0.8</v>
      </c>
      <c r="C350" s="25">
        <v>1</v>
      </c>
      <c r="D350" s="25">
        <v>0</v>
      </c>
      <c r="E350" s="19">
        <v>0</v>
      </c>
      <c r="F350" s="8">
        <f>A350*B350*C350*(1-D350)*(1-Входы!$C$73)*E350*12</f>
        <v>0</v>
      </c>
      <c r="G350" s="8">
        <f>(Входы!$C$67-Входы!$C$68)*Входы!$C$8/Входы!$C$9*E350*12</f>
        <v>0</v>
      </c>
      <c r="H350" s="8">
        <f>Входы!$C$5*Входы!$C$71*B350*C350*(1-D350)*E350*12</f>
        <v>0</v>
      </c>
      <c r="I350" s="8">
        <f t="shared" si="10"/>
        <v>0</v>
      </c>
      <c r="J350" s="8">
        <f>I350-Входы!$C$75*12-Входы!$C$77-Входы!$C$78-Входы!$C$79*Входы!$C$8/Входы!$C$9</f>
        <v>-411230.88905555877</v>
      </c>
      <c r="K350" s="24" t="str">
        <f t="shared" si="11"/>
        <v>Да</v>
      </c>
    </row>
    <row r="351" spans="1:11" x14ac:dyDescent="0.25">
      <c r="A351" s="24">
        <f>Входы!$C$5*Входы!$C$6*Входы!$C$7</f>
        <v>222600</v>
      </c>
      <c r="B351" s="25">
        <v>0.8</v>
      </c>
      <c r="C351" s="25">
        <v>1</v>
      </c>
      <c r="D351" s="25">
        <v>0</v>
      </c>
      <c r="E351" s="19">
        <v>1</v>
      </c>
      <c r="F351" s="8">
        <f>A351*B351*C351*(1-D351)*(1-Входы!$C$73)*E351*12</f>
        <v>1966003.2000000002</v>
      </c>
      <c r="G351" s="8">
        <f>(Входы!$C$67-Входы!$C$68)*Входы!$C$8/Входы!$C$9*E351*12</f>
        <v>28039.00075001442</v>
      </c>
      <c r="H351" s="8">
        <f>Входы!$C$5*Входы!$C$71*B351*C351*(1-D351)*E351*12</f>
        <v>48000</v>
      </c>
      <c r="I351" s="8">
        <f t="shared" si="10"/>
        <v>2042042.2007500145</v>
      </c>
      <c r="J351" s="8">
        <f>I351-Входы!$C$75*12-Входы!$C$77-Входы!$C$78-Входы!$C$79*Входы!$C$8/Входы!$C$9</f>
        <v>1630811.3116944558</v>
      </c>
      <c r="K351" s="24" t="str">
        <f t="shared" si="11"/>
        <v>Нет</v>
      </c>
    </row>
    <row r="352" spans="1:11" x14ac:dyDescent="0.25">
      <c r="A352" s="24">
        <f>Входы!$C$5*Входы!$C$6*Входы!$C$7</f>
        <v>222600</v>
      </c>
      <c r="B352" s="25">
        <v>0.8</v>
      </c>
      <c r="C352" s="25">
        <v>1</v>
      </c>
      <c r="D352" s="25">
        <v>0</v>
      </c>
      <c r="E352" s="19">
        <v>2</v>
      </c>
      <c r="F352" s="8">
        <f>A352*B352*C352*(1-D352)*(1-Входы!$C$73)*E352*12</f>
        <v>3932006.4000000004</v>
      </c>
      <c r="G352" s="8">
        <f>(Входы!$C$67-Входы!$C$68)*Входы!$C$8/Входы!$C$9*E352*12</f>
        <v>56078.00150002884</v>
      </c>
      <c r="H352" s="8">
        <f>Входы!$C$5*Входы!$C$71*B352*C352*(1-D352)*E352*12</f>
        <v>96000</v>
      </c>
      <c r="I352" s="8">
        <f t="shared" si="10"/>
        <v>4084084.401500029</v>
      </c>
      <c r="J352" s="8">
        <f>I352-Входы!$C$75*12-Входы!$C$77-Входы!$C$78-Входы!$C$79*Входы!$C$8/Входы!$C$9</f>
        <v>3672853.5124444701</v>
      </c>
      <c r="K352" s="24" t="str">
        <f t="shared" si="11"/>
        <v>Нет</v>
      </c>
    </row>
    <row r="353" spans="1:11" x14ac:dyDescent="0.25">
      <c r="A353" s="24">
        <f>Входы!$C$5*Входы!$C$6*Входы!$C$7</f>
        <v>222600</v>
      </c>
      <c r="B353" s="25">
        <v>0.8</v>
      </c>
      <c r="C353" s="25">
        <v>1</v>
      </c>
      <c r="D353" s="25">
        <v>0</v>
      </c>
      <c r="E353" s="19">
        <v>3</v>
      </c>
      <c r="F353" s="8">
        <f>A353*B353*C353*(1-D353)*(1-Входы!$C$73)*E353*12</f>
        <v>5898009.6000000006</v>
      </c>
      <c r="G353" s="8">
        <f>(Входы!$C$67-Входы!$C$68)*Входы!$C$8/Входы!$C$9*E353*12</f>
        <v>84117.002250043268</v>
      </c>
      <c r="H353" s="8">
        <f>Входы!$C$5*Входы!$C$71*B353*C353*(1-D353)*E353*12</f>
        <v>144000</v>
      </c>
      <c r="I353" s="8">
        <f t="shared" si="10"/>
        <v>6126126.6022500442</v>
      </c>
      <c r="J353" s="8">
        <f>I353-Входы!$C$75*12-Входы!$C$77-Входы!$C$78-Входы!$C$79*Входы!$C$8/Входы!$C$9</f>
        <v>5714895.7131944858</v>
      </c>
      <c r="K353" s="24" t="str">
        <f t="shared" si="11"/>
        <v>Нет</v>
      </c>
    </row>
    <row r="354" spans="1:11" x14ac:dyDescent="0.25">
      <c r="A354" s="24">
        <f>Входы!$C$5*Входы!$C$6*Входы!$C$7</f>
        <v>222600</v>
      </c>
      <c r="B354" s="25">
        <v>0.8</v>
      </c>
      <c r="C354" s="25">
        <v>1</v>
      </c>
      <c r="D354" s="25">
        <v>0</v>
      </c>
      <c r="E354" s="19">
        <v>4</v>
      </c>
      <c r="F354" s="8">
        <f>A354*B354*C354*(1-D354)*(1-Входы!$C$73)*E354*12</f>
        <v>7864012.8000000007</v>
      </c>
      <c r="G354" s="8">
        <f>(Входы!$C$67-Входы!$C$68)*Входы!$C$8/Входы!$C$9*E354*12</f>
        <v>112156.00300005768</v>
      </c>
      <c r="H354" s="8">
        <f>Входы!$C$5*Входы!$C$71*B354*C354*(1-D354)*E354*12</f>
        <v>192000</v>
      </c>
      <c r="I354" s="8">
        <f t="shared" si="10"/>
        <v>8168168.803000058</v>
      </c>
      <c r="J354" s="8">
        <f>I354-Входы!$C$75*12-Входы!$C$77-Входы!$C$78-Входы!$C$79*Входы!$C$8/Входы!$C$9</f>
        <v>7756937.9139444996</v>
      </c>
      <c r="K354" s="24" t="str">
        <f t="shared" si="11"/>
        <v>Нет</v>
      </c>
    </row>
    <row r="355" spans="1:11" x14ac:dyDescent="0.25">
      <c r="A355" s="24">
        <f>Входы!$C$5*Входы!$C$6*Входы!$C$7</f>
        <v>222600</v>
      </c>
      <c r="B355" s="25">
        <v>0.8</v>
      </c>
      <c r="C355" s="25">
        <v>1</v>
      </c>
      <c r="D355" s="25">
        <v>0.8</v>
      </c>
      <c r="E355" s="19">
        <v>0</v>
      </c>
      <c r="F355" s="8">
        <f>A355*B355*C355*(1-D355)*(1-Входы!$C$73)*E355*12</f>
        <v>0</v>
      </c>
      <c r="G355" s="8">
        <f>(Входы!$C$67-Входы!$C$68)*Входы!$C$8/Входы!$C$9*E355*12</f>
        <v>0</v>
      </c>
      <c r="H355" s="8">
        <f>Входы!$C$5*Входы!$C$71*B355*C355*(1-D355)*E355*12</f>
        <v>0</v>
      </c>
      <c r="I355" s="8">
        <f t="shared" si="10"/>
        <v>0</v>
      </c>
      <c r="J355" s="8">
        <f>I355-Входы!$C$75*12-Входы!$C$77-Входы!$C$78-Входы!$C$79*Входы!$C$8/Входы!$C$9</f>
        <v>-411230.88905555877</v>
      </c>
      <c r="K355" s="24" t="str">
        <f t="shared" si="11"/>
        <v>Да</v>
      </c>
    </row>
    <row r="356" spans="1:11" x14ac:dyDescent="0.25">
      <c r="A356" s="24">
        <f>Входы!$C$5*Входы!$C$6*Входы!$C$7</f>
        <v>222600</v>
      </c>
      <c r="B356" s="25">
        <v>0.8</v>
      </c>
      <c r="C356" s="25">
        <v>1</v>
      </c>
      <c r="D356" s="25">
        <v>0.8</v>
      </c>
      <c r="E356" s="19">
        <v>1</v>
      </c>
      <c r="F356" s="8">
        <f>A356*B356*C356*(1-D356)*(1-Входы!$C$73)*E356*12</f>
        <v>393200.6399999999</v>
      </c>
      <c r="G356" s="8">
        <f>(Входы!$C$67-Входы!$C$68)*Входы!$C$8/Входы!$C$9*E356*12</f>
        <v>28039.00075001442</v>
      </c>
      <c r="H356" s="8">
        <f>Входы!$C$5*Входы!$C$71*B356*C356*(1-D356)*E356*12</f>
        <v>9599.9999999999964</v>
      </c>
      <c r="I356" s="8">
        <f t="shared" si="10"/>
        <v>430839.64075001434</v>
      </c>
      <c r="J356" s="8">
        <f>I356-Входы!$C$75*12-Входы!$C$77-Входы!$C$78-Входы!$C$79*Входы!$C$8/Входы!$C$9</f>
        <v>19608.751694455579</v>
      </c>
      <c r="K356" s="24" t="str">
        <f t="shared" si="11"/>
        <v>Нет</v>
      </c>
    </row>
    <row r="357" spans="1:11" x14ac:dyDescent="0.25">
      <c r="A357" s="24">
        <f>Входы!$C$5*Входы!$C$6*Входы!$C$7</f>
        <v>222600</v>
      </c>
      <c r="B357" s="25">
        <v>0.8</v>
      </c>
      <c r="C357" s="25">
        <v>1</v>
      </c>
      <c r="D357" s="25">
        <v>0.8</v>
      </c>
      <c r="E357" s="19">
        <v>2</v>
      </c>
      <c r="F357" s="8">
        <f>A357*B357*C357*(1-D357)*(1-Входы!$C$73)*E357*12</f>
        <v>786401.2799999998</v>
      </c>
      <c r="G357" s="8">
        <f>(Входы!$C$67-Входы!$C$68)*Входы!$C$8/Входы!$C$9*E357*12</f>
        <v>56078.00150002884</v>
      </c>
      <c r="H357" s="8">
        <f>Входы!$C$5*Входы!$C$71*B357*C357*(1-D357)*E357*12</f>
        <v>19199.999999999993</v>
      </c>
      <c r="I357" s="8">
        <f t="shared" si="10"/>
        <v>861679.28150002868</v>
      </c>
      <c r="J357" s="8">
        <f>I357-Входы!$C$75*12-Входы!$C$77-Входы!$C$78-Входы!$C$79*Входы!$C$8/Входы!$C$9</f>
        <v>450448.39244446991</v>
      </c>
      <c r="K357" s="24" t="str">
        <f t="shared" si="11"/>
        <v>Нет</v>
      </c>
    </row>
    <row r="358" spans="1:11" x14ac:dyDescent="0.25">
      <c r="A358" s="24">
        <f>Входы!$C$5*Входы!$C$6*Входы!$C$7</f>
        <v>222600</v>
      </c>
      <c r="B358" s="25">
        <v>0.8</v>
      </c>
      <c r="C358" s="25">
        <v>1</v>
      </c>
      <c r="D358" s="25">
        <v>0.8</v>
      </c>
      <c r="E358" s="19">
        <v>3</v>
      </c>
      <c r="F358" s="8">
        <f>A358*B358*C358*(1-D358)*(1-Входы!$C$73)*E358*12</f>
        <v>1179601.9199999997</v>
      </c>
      <c r="G358" s="8">
        <f>(Входы!$C$67-Входы!$C$68)*Входы!$C$8/Входы!$C$9*E358*12</f>
        <v>84117.002250043268</v>
      </c>
      <c r="H358" s="8">
        <f>Входы!$C$5*Входы!$C$71*B358*C358*(1-D358)*E358*12</f>
        <v>28799.999999999989</v>
      </c>
      <c r="I358" s="8">
        <f t="shared" si="10"/>
        <v>1292518.9222500429</v>
      </c>
      <c r="J358" s="8">
        <f>I358-Входы!$C$75*12-Входы!$C$77-Входы!$C$78-Входы!$C$79*Входы!$C$8/Входы!$C$9</f>
        <v>881288.03319448419</v>
      </c>
      <c r="K358" s="24" t="str">
        <f t="shared" si="11"/>
        <v>Нет</v>
      </c>
    </row>
    <row r="359" spans="1:11" x14ac:dyDescent="0.25">
      <c r="A359" s="24">
        <f>Входы!$C$5*Входы!$C$6*Входы!$C$7</f>
        <v>222600</v>
      </c>
      <c r="B359" s="25">
        <v>0.8</v>
      </c>
      <c r="C359" s="25">
        <v>1</v>
      </c>
      <c r="D359" s="25">
        <v>0.8</v>
      </c>
      <c r="E359" s="19">
        <v>4</v>
      </c>
      <c r="F359" s="8">
        <f>A359*B359*C359*(1-D359)*(1-Входы!$C$73)*E359*12</f>
        <v>1572802.5599999996</v>
      </c>
      <c r="G359" s="8">
        <f>(Входы!$C$67-Входы!$C$68)*Входы!$C$8/Входы!$C$9*E359*12</f>
        <v>112156.00300005768</v>
      </c>
      <c r="H359" s="8">
        <f>Входы!$C$5*Входы!$C$71*B359*C359*(1-D359)*E359*12</f>
        <v>38399.999999999985</v>
      </c>
      <c r="I359" s="8">
        <f t="shared" si="10"/>
        <v>1723358.5630000574</v>
      </c>
      <c r="J359" s="8">
        <f>I359-Входы!$C$75*12-Входы!$C$77-Входы!$C$78-Входы!$C$79*Входы!$C$8/Входы!$C$9</f>
        <v>1312127.6739444986</v>
      </c>
      <c r="K359" s="24" t="str">
        <f t="shared" si="11"/>
        <v>Нет</v>
      </c>
    </row>
    <row r="360" spans="1:11" x14ac:dyDescent="0.25">
      <c r="A360" s="24">
        <f>Входы!$C$5*Входы!$C$6*Входы!$C$7</f>
        <v>222600</v>
      </c>
      <c r="B360" s="25">
        <v>0.8</v>
      </c>
      <c r="C360" s="25">
        <v>1</v>
      </c>
      <c r="D360" s="25">
        <v>0.98</v>
      </c>
      <c r="E360" s="19">
        <v>0</v>
      </c>
      <c r="F360" s="8">
        <f>A360*B360*C360*(1-D360)*(1-Входы!$C$73)*E360*12</f>
        <v>0</v>
      </c>
      <c r="G360" s="8">
        <f>(Входы!$C$67-Входы!$C$68)*Входы!$C$8/Входы!$C$9*E360*12</f>
        <v>0</v>
      </c>
      <c r="H360" s="8">
        <f>Входы!$C$5*Входы!$C$71*B360*C360*(1-D360)*E360*12</f>
        <v>0</v>
      </c>
      <c r="I360" s="8">
        <f t="shared" si="10"/>
        <v>0</v>
      </c>
      <c r="J360" s="8">
        <f>I360-Входы!$C$75*12-Входы!$C$77-Входы!$C$78-Входы!$C$79*Входы!$C$8/Входы!$C$9</f>
        <v>-411230.88905555877</v>
      </c>
      <c r="K360" s="24" t="str">
        <f t="shared" si="11"/>
        <v>Да</v>
      </c>
    </row>
    <row r="361" spans="1:11" x14ac:dyDescent="0.25">
      <c r="A361" s="24">
        <f>Входы!$C$5*Входы!$C$6*Входы!$C$7</f>
        <v>222600</v>
      </c>
      <c r="B361" s="25">
        <v>0.8</v>
      </c>
      <c r="C361" s="25">
        <v>1</v>
      </c>
      <c r="D361" s="25">
        <v>0.98</v>
      </c>
      <c r="E361" s="19">
        <v>1</v>
      </c>
      <c r="F361" s="8">
        <f>A361*B361*C361*(1-D361)*(1-Входы!$C$73)*E361*12</f>
        <v>39320.064000000042</v>
      </c>
      <c r="G361" s="8">
        <f>(Входы!$C$67-Входы!$C$68)*Входы!$C$8/Входы!$C$9*E361*12</f>
        <v>28039.00075001442</v>
      </c>
      <c r="H361" s="8">
        <f>Входы!$C$5*Входы!$C$71*B361*C361*(1-D361)*E361*12</f>
        <v>960.00000000000091</v>
      </c>
      <c r="I361" s="8">
        <f t="shared" si="10"/>
        <v>68319.064750014455</v>
      </c>
      <c r="J361" s="8">
        <f>I361-Входы!$C$75*12-Входы!$C$77-Входы!$C$78-Входы!$C$79*Входы!$C$8/Входы!$C$9</f>
        <v>-342911.82430554432</v>
      </c>
      <c r="K361" s="24" t="str">
        <f t="shared" si="11"/>
        <v>Да</v>
      </c>
    </row>
    <row r="362" spans="1:11" x14ac:dyDescent="0.25">
      <c r="A362" s="24">
        <f>Входы!$C$5*Входы!$C$6*Входы!$C$7</f>
        <v>222600</v>
      </c>
      <c r="B362" s="25">
        <v>0.8</v>
      </c>
      <c r="C362" s="25">
        <v>1</v>
      </c>
      <c r="D362" s="25">
        <v>0.98</v>
      </c>
      <c r="E362" s="19">
        <v>2</v>
      </c>
      <c r="F362" s="8">
        <f>A362*B362*C362*(1-D362)*(1-Входы!$C$73)*E362*12</f>
        <v>78640.128000000084</v>
      </c>
      <c r="G362" s="8">
        <f>(Входы!$C$67-Входы!$C$68)*Входы!$C$8/Входы!$C$9*E362*12</f>
        <v>56078.00150002884</v>
      </c>
      <c r="H362" s="8">
        <f>Входы!$C$5*Входы!$C$71*B362*C362*(1-D362)*E362*12</f>
        <v>1920.0000000000018</v>
      </c>
      <c r="I362" s="8">
        <f t="shared" si="10"/>
        <v>136638.12950002891</v>
      </c>
      <c r="J362" s="8">
        <f>I362-Входы!$C$75*12-Входы!$C$77-Входы!$C$78-Входы!$C$79*Входы!$C$8/Входы!$C$9</f>
        <v>-274592.75955552986</v>
      </c>
      <c r="K362" s="24" t="str">
        <f t="shared" si="11"/>
        <v>Да</v>
      </c>
    </row>
    <row r="363" spans="1:11" x14ac:dyDescent="0.25">
      <c r="A363" s="24">
        <f>Входы!$C$5*Входы!$C$6*Входы!$C$7</f>
        <v>222600</v>
      </c>
      <c r="B363" s="25">
        <v>0.8</v>
      </c>
      <c r="C363" s="25">
        <v>1</v>
      </c>
      <c r="D363" s="25">
        <v>0.98</v>
      </c>
      <c r="E363" s="19">
        <v>3</v>
      </c>
      <c r="F363" s="8">
        <f>A363*B363*C363*(1-D363)*(1-Входы!$C$73)*E363*12</f>
        <v>117960.19200000013</v>
      </c>
      <c r="G363" s="8">
        <f>(Входы!$C$67-Входы!$C$68)*Входы!$C$8/Входы!$C$9*E363*12</f>
        <v>84117.002250043268</v>
      </c>
      <c r="H363" s="8">
        <f>Входы!$C$5*Входы!$C$71*B363*C363*(1-D363)*E363*12</f>
        <v>2880.0000000000027</v>
      </c>
      <c r="I363" s="8">
        <f t="shared" si="10"/>
        <v>204957.19425004339</v>
      </c>
      <c r="J363" s="8">
        <f>I363-Входы!$C$75*12-Входы!$C$77-Входы!$C$78-Входы!$C$79*Входы!$C$8/Входы!$C$9</f>
        <v>-206273.69480551538</v>
      </c>
      <c r="K363" s="24" t="str">
        <f t="shared" si="11"/>
        <v>Да</v>
      </c>
    </row>
    <row r="364" spans="1:11" x14ac:dyDescent="0.25">
      <c r="A364" s="24">
        <f>Входы!$C$5*Входы!$C$6*Входы!$C$7</f>
        <v>222600</v>
      </c>
      <c r="B364" s="25">
        <v>0.8</v>
      </c>
      <c r="C364" s="25">
        <v>1</v>
      </c>
      <c r="D364" s="25">
        <v>0.98</v>
      </c>
      <c r="E364" s="19">
        <v>4</v>
      </c>
      <c r="F364" s="8">
        <f>A364*B364*C364*(1-D364)*(1-Входы!$C$73)*E364*12</f>
        <v>157280.25600000017</v>
      </c>
      <c r="G364" s="8">
        <f>(Входы!$C$67-Входы!$C$68)*Входы!$C$8/Входы!$C$9*E364*12</f>
        <v>112156.00300005768</v>
      </c>
      <c r="H364" s="8">
        <f>Входы!$C$5*Входы!$C$71*B364*C364*(1-D364)*E364*12</f>
        <v>3840.0000000000036</v>
      </c>
      <c r="I364" s="8">
        <f t="shared" si="10"/>
        <v>273276.25900005782</v>
      </c>
      <c r="J364" s="8">
        <f>I364-Входы!$C$75*12-Входы!$C$77-Входы!$C$78-Входы!$C$79*Входы!$C$8/Входы!$C$9</f>
        <v>-137954.63005550095</v>
      </c>
      <c r="K364" s="24" t="str">
        <f t="shared" si="11"/>
        <v>Да</v>
      </c>
    </row>
    <row r="365" spans="1:11" x14ac:dyDescent="0.25">
      <c r="A365" s="24">
        <f>Входы!$C$5*Входы!$C$6*Входы!$C$7</f>
        <v>222600</v>
      </c>
      <c r="B365" s="25">
        <v>1</v>
      </c>
      <c r="C365" s="25">
        <v>0.3</v>
      </c>
      <c r="D365" s="25">
        <v>0</v>
      </c>
      <c r="E365" s="19">
        <v>0</v>
      </c>
      <c r="F365" s="8">
        <f>A365*B365*C365*(1-D365)*(1-Входы!$C$73)*E365*12</f>
        <v>0</v>
      </c>
      <c r="G365" s="8">
        <f>(Входы!$C$67-Входы!$C$68)*Входы!$C$8/Входы!$C$9*E365*12</f>
        <v>0</v>
      </c>
      <c r="H365" s="8">
        <f>Входы!$C$5*Входы!$C$71*B365*C365*(1-D365)*E365*12</f>
        <v>0</v>
      </c>
      <c r="I365" s="8">
        <f t="shared" si="10"/>
        <v>0</v>
      </c>
      <c r="J365" s="8">
        <f>I365-Входы!$C$75*12-Входы!$C$77-Входы!$C$78-Входы!$C$79*Входы!$C$8/Входы!$C$9</f>
        <v>-411230.88905555877</v>
      </c>
      <c r="K365" s="24" t="str">
        <f t="shared" si="11"/>
        <v>Да</v>
      </c>
    </row>
    <row r="366" spans="1:11" x14ac:dyDescent="0.25">
      <c r="A366" s="24">
        <f>Входы!$C$5*Входы!$C$6*Входы!$C$7</f>
        <v>222600</v>
      </c>
      <c r="B366" s="25">
        <v>1</v>
      </c>
      <c r="C366" s="25">
        <v>0.3</v>
      </c>
      <c r="D366" s="25">
        <v>0</v>
      </c>
      <c r="E366" s="19">
        <v>1</v>
      </c>
      <c r="F366" s="8">
        <f>A366*B366*C366*(1-D366)*(1-Входы!$C$73)*E366*12</f>
        <v>737251.20000000007</v>
      </c>
      <c r="G366" s="8">
        <f>(Входы!$C$67-Входы!$C$68)*Входы!$C$8/Входы!$C$9*E366*12</f>
        <v>28039.00075001442</v>
      </c>
      <c r="H366" s="8">
        <f>Входы!$C$5*Входы!$C$71*B366*C366*(1-D366)*E366*12</f>
        <v>18000</v>
      </c>
      <c r="I366" s="8">
        <f t="shared" si="10"/>
        <v>783290.20075001451</v>
      </c>
      <c r="J366" s="8">
        <f>I366-Входы!$C$75*12-Входы!$C$77-Входы!$C$78-Входы!$C$79*Входы!$C$8/Входы!$C$9</f>
        <v>372059.31169445574</v>
      </c>
      <c r="K366" s="24" t="str">
        <f t="shared" si="11"/>
        <v>Нет</v>
      </c>
    </row>
    <row r="367" spans="1:11" x14ac:dyDescent="0.25">
      <c r="A367" s="24">
        <f>Входы!$C$5*Входы!$C$6*Входы!$C$7</f>
        <v>222600</v>
      </c>
      <c r="B367" s="25">
        <v>1</v>
      </c>
      <c r="C367" s="25">
        <v>0.3</v>
      </c>
      <c r="D367" s="25">
        <v>0</v>
      </c>
      <c r="E367" s="19">
        <v>2</v>
      </c>
      <c r="F367" s="8">
        <f>A367*B367*C367*(1-D367)*(1-Входы!$C$73)*E367*12</f>
        <v>1474502.4000000001</v>
      </c>
      <c r="G367" s="8">
        <f>(Входы!$C$67-Входы!$C$68)*Входы!$C$8/Входы!$C$9*E367*12</f>
        <v>56078.00150002884</v>
      </c>
      <c r="H367" s="8">
        <f>Входы!$C$5*Входы!$C$71*B367*C367*(1-D367)*E367*12</f>
        <v>36000</v>
      </c>
      <c r="I367" s="8">
        <f t="shared" si="10"/>
        <v>1566580.401500029</v>
      </c>
      <c r="J367" s="8">
        <f>I367-Входы!$C$75*12-Входы!$C$77-Входы!$C$78-Входы!$C$79*Входы!$C$8/Входы!$C$9</f>
        <v>1155349.5124444703</v>
      </c>
      <c r="K367" s="24" t="str">
        <f t="shared" si="11"/>
        <v>Нет</v>
      </c>
    </row>
    <row r="368" spans="1:11" x14ac:dyDescent="0.25">
      <c r="A368" s="24">
        <f>Входы!$C$5*Входы!$C$6*Входы!$C$7</f>
        <v>222600</v>
      </c>
      <c r="B368" s="25">
        <v>1</v>
      </c>
      <c r="C368" s="25">
        <v>0.3</v>
      </c>
      <c r="D368" s="25">
        <v>0</v>
      </c>
      <c r="E368" s="19">
        <v>3</v>
      </c>
      <c r="F368" s="8">
        <f>A368*B368*C368*(1-D368)*(1-Входы!$C$73)*E368*12</f>
        <v>2211753.6</v>
      </c>
      <c r="G368" s="8">
        <f>(Входы!$C$67-Входы!$C$68)*Входы!$C$8/Входы!$C$9*E368*12</f>
        <v>84117.002250043268</v>
      </c>
      <c r="H368" s="8">
        <f>Входы!$C$5*Входы!$C$71*B368*C368*(1-D368)*E368*12</f>
        <v>54000</v>
      </c>
      <c r="I368" s="8">
        <f t="shared" si="10"/>
        <v>2349870.6022500433</v>
      </c>
      <c r="J368" s="8">
        <f>I368-Входы!$C$75*12-Входы!$C$77-Входы!$C$78-Входы!$C$79*Входы!$C$8/Входы!$C$9</f>
        <v>1938639.7131944846</v>
      </c>
      <c r="K368" s="24" t="str">
        <f t="shared" si="11"/>
        <v>Нет</v>
      </c>
    </row>
    <row r="369" spans="1:11" x14ac:dyDescent="0.25">
      <c r="A369" s="24">
        <f>Входы!$C$5*Входы!$C$6*Входы!$C$7</f>
        <v>222600</v>
      </c>
      <c r="B369" s="25">
        <v>1</v>
      </c>
      <c r="C369" s="25">
        <v>0.3</v>
      </c>
      <c r="D369" s="25">
        <v>0</v>
      </c>
      <c r="E369" s="19">
        <v>4</v>
      </c>
      <c r="F369" s="8">
        <f>A369*B369*C369*(1-D369)*(1-Входы!$C$73)*E369*12</f>
        <v>2949004.8000000003</v>
      </c>
      <c r="G369" s="8">
        <f>(Входы!$C$67-Входы!$C$68)*Входы!$C$8/Входы!$C$9*E369*12</f>
        <v>112156.00300005768</v>
      </c>
      <c r="H369" s="8">
        <f>Входы!$C$5*Входы!$C$71*B369*C369*(1-D369)*E369*12</f>
        <v>72000</v>
      </c>
      <c r="I369" s="8">
        <f t="shared" si="10"/>
        <v>3133160.803000058</v>
      </c>
      <c r="J369" s="8">
        <f>I369-Входы!$C$75*12-Входы!$C$77-Входы!$C$78-Входы!$C$79*Входы!$C$8/Входы!$C$9</f>
        <v>2721929.9139444991</v>
      </c>
      <c r="K369" s="24" t="str">
        <f t="shared" si="11"/>
        <v>Нет</v>
      </c>
    </row>
    <row r="370" spans="1:11" x14ac:dyDescent="0.25">
      <c r="A370" s="24">
        <f>Входы!$C$5*Входы!$C$6*Входы!$C$7</f>
        <v>222600</v>
      </c>
      <c r="B370" s="25">
        <v>1</v>
      </c>
      <c r="C370" s="25">
        <v>0.3</v>
      </c>
      <c r="D370" s="25">
        <v>0.8</v>
      </c>
      <c r="E370" s="19">
        <v>0</v>
      </c>
      <c r="F370" s="8">
        <f>A370*B370*C370*(1-D370)*(1-Входы!$C$73)*E370*12</f>
        <v>0</v>
      </c>
      <c r="G370" s="8">
        <f>(Входы!$C$67-Входы!$C$68)*Входы!$C$8/Входы!$C$9*E370*12</f>
        <v>0</v>
      </c>
      <c r="H370" s="8">
        <f>Входы!$C$5*Входы!$C$71*B370*C370*(1-D370)*E370*12</f>
        <v>0</v>
      </c>
      <c r="I370" s="8">
        <f t="shared" si="10"/>
        <v>0</v>
      </c>
      <c r="J370" s="8">
        <f>I370-Входы!$C$75*12-Входы!$C$77-Входы!$C$78-Входы!$C$79*Входы!$C$8/Входы!$C$9</f>
        <v>-411230.88905555877</v>
      </c>
      <c r="K370" s="24" t="str">
        <f t="shared" si="11"/>
        <v>Да</v>
      </c>
    </row>
    <row r="371" spans="1:11" x14ac:dyDescent="0.25">
      <c r="A371" s="24">
        <f>Входы!$C$5*Входы!$C$6*Входы!$C$7</f>
        <v>222600</v>
      </c>
      <c r="B371" s="25">
        <v>1</v>
      </c>
      <c r="C371" s="25">
        <v>0.3</v>
      </c>
      <c r="D371" s="25">
        <v>0.8</v>
      </c>
      <c r="E371" s="19">
        <v>1</v>
      </c>
      <c r="F371" s="8">
        <f>A371*B371*C371*(1-D371)*(1-Входы!$C$73)*E371*12</f>
        <v>147450.23999999996</v>
      </c>
      <c r="G371" s="8">
        <f>(Входы!$C$67-Входы!$C$68)*Входы!$C$8/Входы!$C$9*E371*12</f>
        <v>28039.00075001442</v>
      </c>
      <c r="H371" s="8">
        <f>Входы!$C$5*Входы!$C$71*B371*C371*(1-D371)*E371*12</f>
        <v>3599.9999999999991</v>
      </c>
      <c r="I371" s="8">
        <f t="shared" si="10"/>
        <v>179089.24075001437</v>
      </c>
      <c r="J371" s="8">
        <f>I371-Входы!$C$75*12-Входы!$C$77-Входы!$C$78-Входы!$C$79*Входы!$C$8/Входы!$C$9</f>
        <v>-232141.6483055444</v>
      </c>
      <c r="K371" s="24" t="str">
        <f t="shared" si="11"/>
        <v>Да</v>
      </c>
    </row>
    <row r="372" spans="1:11" x14ac:dyDescent="0.25">
      <c r="A372" s="24">
        <f>Входы!$C$5*Входы!$C$6*Входы!$C$7</f>
        <v>222600</v>
      </c>
      <c r="B372" s="25">
        <v>1</v>
      </c>
      <c r="C372" s="25">
        <v>0.3</v>
      </c>
      <c r="D372" s="25">
        <v>0.8</v>
      </c>
      <c r="E372" s="19">
        <v>2</v>
      </c>
      <c r="F372" s="8">
        <f>A372*B372*C372*(1-D372)*(1-Входы!$C$73)*E372*12</f>
        <v>294900.47999999992</v>
      </c>
      <c r="G372" s="8">
        <f>(Входы!$C$67-Входы!$C$68)*Входы!$C$8/Входы!$C$9*E372*12</f>
        <v>56078.00150002884</v>
      </c>
      <c r="H372" s="8">
        <f>Входы!$C$5*Входы!$C$71*B372*C372*(1-D372)*E372*12</f>
        <v>7199.9999999999982</v>
      </c>
      <c r="I372" s="8">
        <f t="shared" si="10"/>
        <v>358178.48150002875</v>
      </c>
      <c r="J372" s="8">
        <f>I372-Входы!$C$75*12-Входы!$C$77-Входы!$C$78-Входы!$C$79*Входы!$C$8/Входы!$C$9</f>
        <v>-53052.407555530008</v>
      </c>
      <c r="K372" s="24" t="str">
        <f t="shared" si="11"/>
        <v>Да</v>
      </c>
    </row>
    <row r="373" spans="1:11" x14ac:dyDescent="0.25">
      <c r="A373" s="24">
        <f>Входы!$C$5*Входы!$C$6*Входы!$C$7</f>
        <v>222600</v>
      </c>
      <c r="B373" s="25">
        <v>1</v>
      </c>
      <c r="C373" s="25">
        <v>0.3</v>
      </c>
      <c r="D373" s="25">
        <v>0.8</v>
      </c>
      <c r="E373" s="19">
        <v>3</v>
      </c>
      <c r="F373" s="8">
        <f>A373*B373*C373*(1-D373)*(1-Входы!$C$73)*E373*12</f>
        <v>442350.71999999986</v>
      </c>
      <c r="G373" s="8">
        <f>(Входы!$C$67-Входы!$C$68)*Входы!$C$8/Входы!$C$9*E373*12</f>
        <v>84117.002250043268</v>
      </c>
      <c r="H373" s="8">
        <f>Входы!$C$5*Входы!$C$71*B373*C373*(1-D373)*E373*12</f>
        <v>10799.999999999996</v>
      </c>
      <c r="I373" s="8">
        <f t="shared" si="10"/>
        <v>537267.72225004318</v>
      </c>
      <c r="J373" s="8">
        <f>I373-Входы!$C$75*12-Входы!$C$77-Входы!$C$78-Входы!$C$79*Входы!$C$8/Входы!$C$9</f>
        <v>126036.83319448442</v>
      </c>
      <c r="K373" s="24" t="str">
        <f t="shared" si="11"/>
        <v>Нет</v>
      </c>
    </row>
    <row r="374" spans="1:11" x14ac:dyDescent="0.25">
      <c r="A374" s="24">
        <f>Входы!$C$5*Входы!$C$6*Входы!$C$7</f>
        <v>222600</v>
      </c>
      <c r="B374" s="25">
        <v>1</v>
      </c>
      <c r="C374" s="25">
        <v>0.3</v>
      </c>
      <c r="D374" s="25">
        <v>0.8</v>
      </c>
      <c r="E374" s="19">
        <v>4</v>
      </c>
      <c r="F374" s="8">
        <f>A374*B374*C374*(1-D374)*(1-Входы!$C$73)*E374*12</f>
        <v>589800.95999999985</v>
      </c>
      <c r="G374" s="8">
        <f>(Входы!$C$67-Входы!$C$68)*Входы!$C$8/Входы!$C$9*E374*12</f>
        <v>112156.00300005768</v>
      </c>
      <c r="H374" s="8">
        <f>Входы!$C$5*Входы!$C$71*B374*C374*(1-D374)*E374*12</f>
        <v>14399.999999999996</v>
      </c>
      <c r="I374" s="8">
        <f t="shared" si="10"/>
        <v>716356.9630000575</v>
      </c>
      <c r="J374" s="8">
        <f>I374-Входы!$C$75*12-Входы!$C$77-Входы!$C$78-Входы!$C$79*Входы!$C$8/Входы!$C$9</f>
        <v>305126.07394449873</v>
      </c>
      <c r="K374" s="24" t="str">
        <f t="shared" si="11"/>
        <v>Нет</v>
      </c>
    </row>
    <row r="375" spans="1:11" x14ac:dyDescent="0.25">
      <c r="A375" s="24">
        <f>Входы!$C$5*Входы!$C$6*Входы!$C$7</f>
        <v>222600</v>
      </c>
      <c r="B375" s="25">
        <v>1</v>
      </c>
      <c r="C375" s="25">
        <v>0.3</v>
      </c>
      <c r="D375" s="25">
        <v>0.98</v>
      </c>
      <c r="E375" s="19">
        <v>0</v>
      </c>
      <c r="F375" s="8">
        <f>A375*B375*C375*(1-D375)*(1-Входы!$C$73)*E375*12</f>
        <v>0</v>
      </c>
      <c r="G375" s="8">
        <f>(Входы!$C$67-Входы!$C$68)*Входы!$C$8/Входы!$C$9*E375*12</f>
        <v>0</v>
      </c>
      <c r="H375" s="8">
        <f>Входы!$C$5*Входы!$C$71*B375*C375*(1-D375)*E375*12</f>
        <v>0</v>
      </c>
      <c r="I375" s="8">
        <f t="shared" si="10"/>
        <v>0</v>
      </c>
      <c r="J375" s="8">
        <f>I375-Входы!$C$75*12-Входы!$C$77-Входы!$C$78-Входы!$C$79*Входы!$C$8/Входы!$C$9</f>
        <v>-411230.88905555877</v>
      </c>
      <c r="K375" s="24" t="str">
        <f t="shared" si="11"/>
        <v>Да</v>
      </c>
    </row>
    <row r="376" spans="1:11" x14ac:dyDescent="0.25">
      <c r="A376" s="24">
        <f>Входы!$C$5*Входы!$C$6*Входы!$C$7</f>
        <v>222600</v>
      </c>
      <c r="B376" s="25">
        <v>1</v>
      </c>
      <c r="C376" s="25">
        <v>0.3</v>
      </c>
      <c r="D376" s="25">
        <v>0.98</v>
      </c>
      <c r="E376" s="19">
        <v>1</v>
      </c>
      <c r="F376" s="8">
        <f>A376*B376*C376*(1-D376)*(1-Входы!$C$73)*E376*12</f>
        <v>14745.024000000016</v>
      </c>
      <c r="G376" s="8">
        <f>(Входы!$C$67-Входы!$C$68)*Входы!$C$8/Входы!$C$9*E376*12</f>
        <v>28039.00075001442</v>
      </c>
      <c r="H376" s="8">
        <f>Входы!$C$5*Входы!$C$71*B376*C376*(1-D376)*E376*12</f>
        <v>360.00000000000034</v>
      </c>
      <c r="I376" s="8">
        <f t="shared" si="10"/>
        <v>43144.024750014432</v>
      </c>
      <c r="J376" s="8">
        <f>I376-Входы!$C$75*12-Входы!$C$77-Входы!$C$78-Входы!$C$79*Входы!$C$8/Входы!$C$9</f>
        <v>-368086.86430554435</v>
      </c>
      <c r="K376" s="24" t="str">
        <f t="shared" si="11"/>
        <v>Да</v>
      </c>
    </row>
    <row r="377" spans="1:11" x14ac:dyDescent="0.25">
      <c r="A377" s="24">
        <f>Входы!$C$5*Входы!$C$6*Входы!$C$7</f>
        <v>222600</v>
      </c>
      <c r="B377" s="25">
        <v>1</v>
      </c>
      <c r="C377" s="25">
        <v>0.3</v>
      </c>
      <c r="D377" s="25">
        <v>0.98</v>
      </c>
      <c r="E377" s="19">
        <v>2</v>
      </c>
      <c r="F377" s="8">
        <f>A377*B377*C377*(1-D377)*(1-Входы!$C$73)*E377*12</f>
        <v>29490.048000000032</v>
      </c>
      <c r="G377" s="8">
        <f>(Входы!$C$67-Входы!$C$68)*Входы!$C$8/Входы!$C$9*E377*12</f>
        <v>56078.00150002884</v>
      </c>
      <c r="H377" s="8">
        <f>Входы!$C$5*Входы!$C$71*B377*C377*(1-D377)*E377*12</f>
        <v>720.00000000000068</v>
      </c>
      <c r="I377" s="8">
        <f t="shared" si="10"/>
        <v>86288.049500028865</v>
      </c>
      <c r="J377" s="8">
        <f>I377-Входы!$C$75*12-Входы!$C$77-Входы!$C$78-Входы!$C$79*Входы!$C$8/Входы!$C$9</f>
        <v>-324942.83955552994</v>
      </c>
      <c r="K377" s="24" t="str">
        <f t="shared" si="11"/>
        <v>Да</v>
      </c>
    </row>
    <row r="378" spans="1:11" x14ac:dyDescent="0.25">
      <c r="A378" s="24">
        <f>Входы!$C$5*Входы!$C$6*Входы!$C$7</f>
        <v>222600</v>
      </c>
      <c r="B378" s="25">
        <v>1</v>
      </c>
      <c r="C378" s="25">
        <v>0.3</v>
      </c>
      <c r="D378" s="25">
        <v>0.98</v>
      </c>
      <c r="E378" s="19">
        <v>3</v>
      </c>
      <c r="F378" s="8">
        <f>A378*B378*C378*(1-D378)*(1-Входы!$C$73)*E378*12</f>
        <v>44235.072000000044</v>
      </c>
      <c r="G378" s="8">
        <f>(Входы!$C$67-Входы!$C$68)*Входы!$C$8/Входы!$C$9*E378*12</f>
        <v>84117.002250043268</v>
      </c>
      <c r="H378" s="8">
        <f>Входы!$C$5*Входы!$C$71*B378*C378*(1-D378)*E378*12</f>
        <v>1080.0000000000009</v>
      </c>
      <c r="I378" s="8">
        <f t="shared" si="10"/>
        <v>129432.07425004331</v>
      </c>
      <c r="J378" s="8">
        <f>I378-Входы!$C$75*12-Входы!$C$77-Входы!$C$78-Входы!$C$79*Входы!$C$8/Входы!$C$9</f>
        <v>-281798.81480551546</v>
      </c>
      <c r="K378" s="24" t="str">
        <f t="shared" si="11"/>
        <v>Да</v>
      </c>
    </row>
    <row r="379" spans="1:11" x14ac:dyDescent="0.25">
      <c r="A379" s="24">
        <f>Входы!$C$5*Входы!$C$6*Входы!$C$7</f>
        <v>222600</v>
      </c>
      <c r="B379" s="25">
        <v>1</v>
      </c>
      <c r="C379" s="25">
        <v>0.3</v>
      </c>
      <c r="D379" s="25">
        <v>0.98</v>
      </c>
      <c r="E379" s="19">
        <v>4</v>
      </c>
      <c r="F379" s="8">
        <f>A379*B379*C379*(1-D379)*(1-Входы!$C$73)*E379*12</f>
        <v>58980.096000000063</v>
      </c>
      <c r="G379" s="8">
        <f>(Входы!$C$67-Входы!$C$68)*Входы!$C$8/Входы!$C$9*E379*12</f>
        <v>112156.00300005768</v>
      </c>
      <c r="H379" s="8">
        <f>Входы!$C$5*Входы!$C$71*B379*C379*(1-D379)*E379*12</f>
        <v>1440.0000000000014</v>
      </c>
      <c r="I379" s="8">
        <f t="shared" si="10"/>
        <v>172576.09900005773</v>
      </c>
      <c r="J379" s="8">
        <f>I379-Входы!$C$75*12-Входы!$C$77-Входы!$C$78-Входы!$C$79*Входы!$C$8/Входы!$C$9</f>
        <v>-238654.79005550104</v>
      </c>
      <c r="K379" s="24" t="str">
        <f t="shared" si="11"/>
        <v>Да</v>
      </c>
    </row>
    <row r="380" spans="1:11" x14ac:dyDescent="0.25">
      <c r="A380" s="24">
        <f>Входы!$C$5*Входы!$C$6*Входы!$C$7</f>
        <v>222600</v>
      </c>
      <c r="B380" s="25">
        <v>1</v>
      </c>
      <c r="C380" s="25">
        <v>0.6</v>
      </c>
      <c r="D380" s="25">
        <v>0</v>
      </c>
      <c r="E380" s="19">
        <v>0</v>
      </c>
      <c r="F380" s="8">
        <f>A380*B380*C380*(1-D380)*(1-Входы!$C$73)*E380*12</f>
        <v>0</v>
      </c>
      <c r="G380" s="8">
        <f>(Входы!$C$67-Входы!$C$68)*Входы!$C$8/Входы!$C$9*E380*12</f>
        <v>0</v>
      </c>
      <c r="H380" s="8">
        <f>Входы!$C$5*Входы!$C$71*B380*C380*(1-D380)*E380*12</f>
        <v>0</v>
      </c>
      <c r="I380" s="8">
        <f t="shared" si="10"/>
        <v>0</v>
      </c>
      <c r="J380" s="8">
        <f>I380-Входы!$C$75*12-Входы!$C$77-Входы!$C$78-Входы!$C$79*Входы!$C$8/Входы!$C$9</f>
        <v>-411230.88905555877</v>
      </c>
      <c r="K380" s="24" t="str">
        <f t="shared" si="11"/>
        <v>Да</v>
      </c>
    </row>
    <row r="381" spans="1:11" x14ac:dyDescent="0.25">
      <c r="A381" s="24">
        <f>Входы!$C$5*Входы!$C$6*Входы!$C$7</f>
        <v>222600</v>
      </c>
      <c r="B381" s="25">
        <v>1</v>
      </c>
      <c r="C381" s="25">
        <v>0.6</v>
      </c>
      <c r="D381" s="25">
        <v>0</v>
      </c>
      <c r="E381" s="19">
        <v>1</v>
      </c>
      <c r="F381" s="8">
        <f>A381*B381*C381*(1-D381)*(1-Входы!$C$73)*E381*12</f>
        <v>1474502.4000000001</v>
      </c>
      <c r="G381" s="8">
        <f>(Входы!$C$67-Входы!$C$68)*Входы!$C$8/Входы!$C$9*E381*12</f>
        <v>28039.00075001442</v>
      </c>
      <c r="H381" s="8">
        <f>Входы!$C$5*Входы!$C$71*B381*C381*(1-D381)*E381*12</f>
        <v>36000</v>
      </c>
      <c r="I381" s="8">
        <f t="shared" si="10"/>
        <v>1538541.4007500145</v>
      </c>
      <c r="J381" s="8">
        <f>I381-Входы!$C$75*12-Входы!$C$77-Входы!$C$78-Входы!$C$79*Входы!$C$8/Входы!$C$9</f>
        <v>1127310.5116944558</v>
      </c>
      <c r="K381" s="24" t="str">
        <f t="shared" si="11"/>
        <v>Нет</v>
      </c>
    </row>
    <row r="382" spans="1:11" x14ac:dyDescent="0.25">
      <c r="A382" s="24">
        <f>Входы!$C$5*Входы!$C$6*Входы!$C$7</f>
        <v>222600</v>
      </c>
      <c r="B382" s="25">
        <v>1</v>
      </c>
      <c r="C382" s="25">
        <v>0.6</v>
      </c>
      <c r="D382" s="25">
        <v>0</v>
      </c>
      <c r="E382" s="19">
        <v>2</v>
      </c>
      <c r="F382" s="8">
        <f>A382*B382*C382*(1-D382)*(1-Входы!$C$73)*E382*12</f>
        <v>2949004.8000000003</v>
      </c>
      <c r="G382" s="8">
        <f>(Входы!$C$67-Входы!$C$68)*Входы!$C$8/Входы!$C$9*E382*12</f>
        <v>56078.00150002884</v>
      </c>
      <c r="H382" s="8">
        <f>Входы!$C$5*Входы!$C$71*B382*C382*(1-D382)*E382*12</f>
        <v>72000</v>
      </c>
      <c r="I382" s="8">
        <f t="shared" si="10"/>
        <v>3077082.8015000289</v>
      </c>
      <c r="J382" s="8">
        <f>I382-Входы!$C$75*12-Входы!$C$77-Входы!$C$78-Входы!$C$79*Входы!$C$8/Входы!$C$9</f>
        <v>2665851.91244447</v>
      </c>
      <c r="K382" s="24" t="str">
        <f t="shared" si="11"/>
        <v>Нет</v>
      </c>
    </row>
    <row r="383" spans="1:11" x14ac:dyDescent="0.25">
      <c r="A383" s="24">
        <f>Входы!$C$5*Входы!$C$6*Входы!$C$7</f>
        <v>222600</v>
      </c>
      <c r="B383" s="25">
        <v>1</v>
      </c>
      <c r="C383" s="25">
        <v>0.6</v>
      </c>
      <c r="D383" s="25">
        <v>0</v>
      </c>
      <c r="E383" s="19">
        <v>3</v>
      </c>
      <c r="F383" s="8">
        <f>A383*B383*C383*(1-D383)*(1-Входы!$C$73)*E383*12</f>
        <v>4423507.2</v>
      </c>
      <c r="G383" s="8">
        <f>(Входы!$C$67-Входы!$C$68)*Входы!$C$8/Входы!$C$9*E383*12</f>
        <v>84117.002250043268</v>
      </c>
      <c r="H383" s="8">
        <f>Входы!$C$5*Входы!$C$71*B383*C383*(1-D383)*E383*12</f>
        <v>108000</v>
      </c>
      <c r="I383" s="8">
        <f t="shared" si="10"/>
        <v>4615624.2022500439</v>
      </c>
      <c r="J383" s="8">
        <f>I383-Входы!$C$75*12-Входы!$C$77-Входы!$C$78-Входы!$C$79*Входы!$C$8/Входы!$C$9</f>
        <v>4204393.3131944854</v>
      </c>
      <c r="K383" s="24" t="str">
        <f t="shared" si="11"/>
        <v>Нет</v>
      </c>
    </row>
    <row r="384" spans="1:11" x14ac:dyDescent="0.25">
      <c r="A384" s="24">
        <f>Входы!$C$5*Входы!$C$6*Входы!$C$7</f>
        <v>222600</v>
      </c>
      <c r="B384" s="25">
        <v>1</v>
      </c>
      <c r="C384" s="25">
        <v>0.6</v>
      </c>
      <c r="D384" s="25">
        <v>0</v>
      </c>
      <c r="E384" s="19">
        <v>4</v>
      </c>
      <c r="F384" s="8">
        <f>A384*B384*C384*(1-D384)*(1-Входы!$C$73)*E384*12</f>
        <v>5898009.6000000006</v>
      </c>
      <c r="G384" s="8">
        <f>(Входы!$C$67-Входы!$C$68)*Входы!$C$8/Входы!$C$9*E384*12</f>
        <v>112156.00300005768</v>
      </c>
      <c r="H384" s="8">
        <f>Входы!$C$5*Входы!$C$71*B384*C384*(1-D384)*E384*12</f>
        <v>144000</v>
      </c>
      <c r="I384" s="8">
        <f t="shared" si="10"/>
        <v>6154165.6030000579</v>
      </c>
      <c r="J384" s="8">
        <f>I384-Входы!$C$75*12-Входы!$C$77-Входы!$C$78-Входы!$C$79*Входы!$C$8/Входы!$C$9</f>
        <v>5742934.7139444994</v>
      </c>
      <c r="K384" s="24" t="str">
        <f t="shared" si="11"/>
        <v>Нет</v>
      </c>
    </row>
    <row r="385" spans="1:11" x14ac:dyDescent="0.25">
      <c r="A385" s="24">
        <f>Входы!$C$5*Входы!$C$6*Входы!$C$7</f>
        <v>222600</v>
      </c>
      <c r="B385" s="25">
        <v>1</v>
      </c>
      <c r="C385" s="25">
        <v>0.6</v>
      </c>
      <c r="D385" s="25">
        <v>0.8</v>
      </c>
      <c r="E385" s="19">
        <v>0</v>
      </c>
      <c r="F385" s="8">
        <f>A385*B385*C385*(1-D385)*(1-Входы!$C$73)*E385*12</f>
        <v>0</v>
      </c>
      <c r="G385" s="8">
        <f>(Входы!$C$67-Входы!$C$68)*Входы!$C$8/Входы!$C$9*E385*12</f>
        <v>0</v>
      </c>
      <c r="H385" s="8">
        <f>Входы!$C$5*Входы!$C$71*B385*C385*(1-D385)*E385*12</f>
        <v>0</v>
      </c>
      <c r="I385" s="8">
        <f t="shared" si="10"/>
        <v>0</v>
      </c>
      <c r="J385" s="8">
        <f>I385-Входы!$C$75*12-Входы!$C$77-Входы!$C$78-Входы!$C$79*Входы!$C$8/Входы!$C$9</f>
        <v>-411230.88905555877</v>
      </c>
      <c r="K385" s="24" t="str">
        <f t="shared" si="11"/>
        <v>Да</v>
      </c>
    </row>
    <row r="386" spans="1:11" x14ac:dyDescent="0.25">
      <c r="A386" s="24">
        <f>Входы!$C$5*Входы!$C$6*Входы!$C$7</f>
        <v>222600</v>
      </c>
      <c r="B386" s="25">
        <v>1</v>
      </c>
      <c r="C386" s="25">
        <v>0.6</v>
      </c>
      <c r="D386" s="25">
        <v>0.8</v>
      </c>
      <c r="E386" s="19">
        <v>1</v>
      </c>
      <c r="F386" s="8">
        <f>A386*B386*C386*(1-D386)*(1-Входы!$C$73)*E386*12</f>
        <v>294900.47999999992</v>
      </c>
      <c r="G386" s="8">
        <f>(Входы!$C$67-Входы!$C$68)*Входы!$C$8/Входы!$C$9*E386*12</f>
        <v>28039.00075001442</v>
      </c>
      <c r="H386" s="8">
        <f>Входы!$C$5*Входы!$C$71*B386*C386*(1-D386)*E386*12</f>
        <v>7199.9999999999982</v>
      </c>
      <c r="I386" s="8">
        <f t="shared" si="10"/>
        <v>330139.48075001437</v>
      </c>
      <c r="J386" s="8">
        <f>I386-Входы!$C$75*12-Входы!$C$77-Входы!$C$78-Входы!$C$79*Входы!$C$8/Входы!$C$9</f>
        <v>-81091.408305544392</v>
      </c>
      <c r="K386" s="24" t="str">
        <f t="shared" si="11"/>
        <v>Да</v>
      </c>
    </row>
    <row r="387" spans="1:11" x14ac:dyDescent="0.25">
      <c r="A387" s="24">
        <f>Входы!$C$5*Входы!$C$6*Входы!$C$7</f>
        <v>222600</v>
      </c>
      <c r="B387" s="25">
        <v>1</v>
      </c>
      <c r="C387" s="25">
        <v>0.6</v>
      </c>
      <c r="D387" s="25">
        <v>0.8</v>
      </c>
      <c r="E387" s="19">
        <v>2</v>
      </c>
      <c r="F387" s="8">
        <f>A387*B387*C387*(1-D387)*(1-Входы!$C$73)*E387*12</f>
        <v>589800.95999999985</v>
      </c>
      <c r="G387" s="8">
        <f>(Входы!$C$67-Входы!$C$68)*Входы!$C$8/Входы!$C$9*E387*12</f>
        <v>56078.00150002884</v>
      </c>
      <c r="H387" s="8">
        <f>Входы!$C$5*Входы!$C$71*B387*C387*(1-D387)*E387*12</f>
        <v>14399.999999999996</v>
      </c>
      <c r="I387" s="8">
        <f t="shared" si="10"/>
        <v>660278.96150002873</v>
      </c>
      <c r="J387" s="8">
        <f>I387-Входы!$C$75*12-Входы!$C$77-Входы!$C$78-Входы!$C$79*Входы!$C$8/Входы!$C$9</f>
        <v>249048.07244446996</v>
      </c>
      <c r="K387" s="24" t="str">
        <f t="shared" si="11"/>
        <v>Нет</v>
      </c>
    </row>
    <row r="388" spans="1:11" x14ac:dyDescent="0.25">
      <c r="A388" s="24">
        <f>Входы!$C$5*Входы!$C$6*Входы!$C$7</f>
        <v>222600</v>
      </c>
      <c r="B388" s="25">
        <v>1</v>
      </c>
      <c r="C388" s="25">
        <v>0.6</v>
      </c>
      <c r="D388" s="25">
        <v>0.8</v>
      </c>
      <c r="E388" s="19">
        <v>3</v>
      </c>
      <c r="F388" s="8">
        <f>A388*B388*C388*(1-D388)*(1-Входы!$C$73)*E388*12</f>
        <v>884701.43999999971</v>
      </c>
      <c r="G388" s="8">
        <f>(Входы!$C$67-Входы!$C$68)*Входы!$C$8/Входы!$C$9*E388*12</f>
        <v>84117.002250043268</v>
      </c>
      <c r="H388" s="8">
        <f>Входы!$C$5*Входы!$C$71*B388*C388*(1-D388)*E388*12</f>
        <v>21599.999999999993</v>
      </c>
      <c r="I388" s="8">
        <f t="shared" si="10"/>
        <v>990418.44225004292</v>
      </c>
      <c r="J388" s="8">
        <f>I388-Входы!$C$75*12-Входы!$C$77-Входы!$C$78-Входы!$C$79*Входы!$C$8/Входы!$C$9</f>
        <v>579187.55319448421</v>
      </c>
      <c r="K388" s="24" t="str">
        <f t="shared" si="11"/>
        <v>Нет</v>
      </c>
    </row>
    <row r="389" spans="1:11" x14ac:dyDescent="0.25">
      <c r="A389" s="24">
        <f>Входы!$C$5*Входы!$C$6*Входы!$C$7</f>
        <v>222600</v>
      </c>
      <c r="B389" s="25">
        <v>1</v>
      </c>
      <c r="C389" s="25">
        <v>0.6</v>
      </c>
      <c r="D389" s="25">
        <v>0.8</v>
      </c>
      <c r="E389" s="19">
        <v>4</v>
      </c>
      <c r="F389" s="8">
        <f>A389*B389*C389*(1-D389)*(1-Входы!$C$73)*E389*12</f>
        <v>1179601.9199999997</v>
      </c>
      <c r="G389" s="8">
        <f>(Входы!$C$67-Входы!$C$68)*Входы!$C$8/Входы!$C$9*E389*12</f>
        <v>112156.00300005768</v>
      </c>
      <c r="H389" s="8">
        <f>Входы!$C$5*Входы!$C$71*B389*C389*(1-D389)*E389*12</f>
        <v>28799.999999999993</v>
      </c>
      <c r="I389" s="8">
        <f t="shared" ref="I389:I452" si="12">SUM(F389:H389)</f>
        <v>1320557.9230000575</v>
      </c>
      <c r="J389" s="8">
        <f>I389-Входы!$C$75*12-Входы!$C$77-Входы!$C$78-Входы!$C$79*Входы!$C$8/Входы!$C$9</f>
        <v>909327.03394449875</v>
      </c>
      <c r="K389" s="24" t="str">
        <f t="shared" ref="K389:K452" si="13">IF(J389&lt;=0,"Да","Нет")</f>
        <v>Нет</v>
      </c>
    </row>
    <row r="390" spans="1:11" x14ac:dyDescent="0.25">
      <c r="A390" s="24">
        <f>Входы!$C$5*Входы!$C$6*Входы!$C$7</f>
        <v>222600</v>
      </c>
      <c r="B390" s="25">
        <v>1</v>
      </c>
      <c r="C390" s="25">
        <v>0.6</v>
      </c>
      <c r="D390" s="25">
        <v>0.98</v>
      </c>
      <c r="E390" s="19">
        <v>0</v>
      </c>
      <c r="F390" s="8">
        <f>A390*B390*C390*(1-D390)*(1-Входы!$C$73)*E390*12</f>
        <v>0</v>
      </c>
      <c r="G390" s="8">
        <f>(Входы!$C$67-Входы!$C$68)*Входы!$C$8/Входы!$C$9*E390*12</f>
        <v>0</v>
      </c>
      <c r="H390" s="8">
        <f>Входы!$C$5*Входы!$C$71*B390*C390*(1-D390)*E390*12</f>
        <v>0</v>
      </c>
      <c r="I390" s="8">
        <f t="shared" si="12"/>
        <v>0</v>
      </c>
      <c r="J390" s="8">
        <f>I390-Входы!$C$75*12-Входы!$C$77-Входы!$C$78-Входы!$C$79*Входы!$C$8/Входы!$C$9</f>
        <v>-411230.88905555877</v>
      </c>
      <c r="K390" s="24" t="str">
        <f t="shared" si="13"/>
        <v>Да</v>
      </c>
    </row>
    <row r="391" spans="1:11" x14ac:dyDescent="0.25">
      <c r="A391" s="24">
        <f>Входы!$C$5*Входы!$C$6*Входы!$C$7</f>
        <v>222600</v>
      </c>
      <c r="B391" s="25">
        <v>1</v>
      </c>
      <c r="C391" s="25">
        <v>0.6</v>
      </c>
      <c r="D391" s="25">
        <v>0.98</v>
      </c>
      <c r="E391" s="19">
        <v>1</v>
      </c>
      <c r="F391" s="8">
        <f>A391*B391*C391*(1-D391)*(1-Входы!$C$73)*E391*12</f>
        <v>29490.048000000032</v>
      </c>
      <c r="G391" s="8">
        <f>(Входы!$C$67-Входы!$C$68)*Входы!$C$8/Входы!$C$9*E391*12</f>
        <v>28039.00075001442</v>
      </c>
      <c r="H391" s="8">
        <f>Входы!$C$5*Входы!$C$71*B391*C391*(1-D391)*E391*12</f>
        <v>720.00000000000068</v>
      </c>
      <c r="I391" s="8">
        <f t="shared" si="12"/>
        <v>58249.048750014452</v>
      </c>
      <c r="J391" s="8">
        <f>I391-Входы!$C$75*12-Входы!$C$77-Входы!$C$78-Входы!$C$79*Входы!$C$8/Входы!$C$9</f>
        <v>-352981.84030554432</v>
      </c>
      <c r="K391" s="24" t="str">
        <f t="shared" si="13"/>
        <v>Да</v>
      </c>
    </row>
    <row r="392" spans="1:11" x14ac:dyDescent="0.25">
      <c r="A392" s="24">
        <f>Входы!$C$5*Входы!$C$6*Входы!$C$7</f>
        <v>222600</v>
      </c>
      <c r="B392" s="25">
        <v>1</v>
      </c>
      <c r="C392" s="25">
        <v>0.6</v>
      </c>
      <c r="D392" s="25">
        <v>0.98</v>
      </c>
      <c r="E392" s="19">
        <v>2</v>
      </c>
      <c r="F392" s="8">
        <f>A392*B392*C392*(1-D392)*(1-Входы!$C$73)*E392*12</f>
        <v>58980.096000000063</v>
      </c>
      <c r="G392" s="8">
        <f>(Входы!$C$67-Входы!$C$68)*Входы!$C$8/Входы!$C$9*E392*12</f>
        <v>56078.00150002884</v>
      </c>
      <c r="H392" s="8">
        <f>Входы!$C$5*Входы!$C$71*B392*C392*(1-D392)*E392*12</f>
        <v>1440.0000000000014</v>
      </c>
      <c r="I392" s="8">
        <f t="shared" si="12"/>
        <v>116498.0975000289</v>
      </c>
      <c r="J392" s="8">
        <f>I392-Входы!$C$75*12-Входы!$C$77-Входы!$C$78-Входы!$C$79*Входы!$C$8/Входы!$C$9</f>
        <v>-294732.79155552987</v>
      </c>
      <c r="K392" s="24" t="str">
        <f t="shared" si="13"/>
        <v>Да</v>
      </c>
    </row>
    <row r="393" spans="1:11" x14ac:dyDescent="0.25">
      <c r="A393" s="24">
        <f>Входы!$C$5*Входы!$C$6*Входы!$C$7</f>
        <v>222600</v>
      </c>
      <c r="B393" s="25">
        <v>1</v>
      </c>
      <c r="C393" s="25">
        <v>0.6</v>
      </c>
      <c r="D393" s="25">
        <v>0.98</v>
      </c>
      <c r="E393" s="19">
        <v>3</v>
      </c>
      <c r="F393" s="8">
        <f>A393*B393*C393*(1-D393)*(1-Входы!$C$73)*E393*12</f>
        <v>88470.144000000088</v>
      </c>
      <c r="G393" s="8">
        <f>(Входы!$C$67-Входы!$C$68)*Входы!$C$8/Входы!$C$9*E393*12</f>
        <v>84117.002250043268</v>
      </c>
      <c r="H393" s="8">
        <f>Входы!$C$5*Входы!$C$71*B393*C393*(1-D393)*E393*12</f>
        <v>2160.0000000000018</v>
      </c>
      <c r="I393" s="8">
        <f t="shared" si="12"/>
        <v>174747.14625004336</v>
      </c>
      <c r="J393" s="8">
        <f>I393-Входы!$C$75*12-Входы!$C$77-Входы!$C$78-Входы!$C$79*Входы!$C$8/Входы!$C$9</f>
        <v>-236483.74280551542</v>
      </c>
      <c r="K393" s="24" t="str">
        <f t="shared" si="13"/>
        <v>Да</v>
      </c>
    </row>
    <row r="394" spans="1:11" x14ac:dyDescent="0.25">
      <c r="A394" s="24">
        <f>Входы!$C$5*Входы!$C$6*Входы!$C$7</f>
        <v>222600</v>
      </c>
      <c r="B394" s="25">
        <v>1</v>
      </c>
      <c r="C394" s="25">
        <v>0.6</v>
      </c>
      <c r="D394" s="25">
        <v>0.98</v>
      </c>
      <c r="E394" s="19">
        <v>4</v>
      </c>
      <c r="F394" s="8">
        <f>A394*B394*C394*(1-D394)*(1-Входы!$C$73)*E394*12</f>
        <v>117960.19200000013</v>
      </c>
      <c r="G394" s="8">
        <f>(Входы!$C$67-Входы!$C$68)*Входы!$C$8/Входы!$C$9*E394*12</f>
        <v>112156.00300005768</v>
      </c>
      <c r="H394" s="8">
        <f>Входы!$C$5*Входы!$C$71*B394*C394*(1-D394)*E394*12</f>
        <v>2880.0000000000027</v>
      </c>
      <c r="I394" s="8">
        <f t="shared" si="12"/>
        <v>232996.19500005781</v>
      </c>
      <c r="J394" s="8">
        <f>I394-Входы!$C$75*12-Входы!$C$77-Входы!$C$78-Входы!$C$79*Входы!$C$8/Входы!$C$9</f>
        <v>-178234.69405550096</v>
      </c>
      <c r="K394" s="24" t="str">
        <f t="shared" si="13"/>
        <v>Да</v>
      </c>
    </row>
    <row r="395" spans="1:11" x14ac:dyDescent="0.25">
      <c r="A395" s="24">
        <f>Входы!$C$5*Входы!$C$6*Входы!$C$7</f>
        <v>222600</v>
      </c>
      <c r="B395" s="25">
        <v>1</v>
      </c>
      <c r="C395" s="25">
        <v>1</v>
      </c>
      <c r="D395" s="25">
        <v>0</v>
      </c>
      <c r="E395" s="19">
        <v>0</v>
      </c>
      <c r="F395" s="8">
        <f>A395*B395*C395*(1-D395)*(1-Входы!$C$73)*E395*12</f>
        <v>0</v>
      </c>
      <c r="G395" s="8">
        <f>(Входы!$C$67-Входы!$C$68)*Входы!$C$8/Входы!$C$9*E395*12</f>
        <v>0</v>
      </c>
      <c r="H395" s="8">
        <f>Входы!$C$5*Входы!$C$71*B395*C395*(1-D395)*E395*12</f>
        <v>0</v>
      </c>
      <c r="I395" s="8">
        <f t="shared" si="12"/>
        <v>0</v>
      </c>
      <c r="J395" s="8">
        <f>I395-Входы!$C$75*12-Входы!$C$77-Входы!$C$78-Входы!$C$79*Входы!$C$8/Входы!$C$9</f>
        <v>-411230.88905555877</v>
      </c>
      <c r="K395" s="24" t="str">
        <f t="shared" si="13"/>
        <v>Да</v>
      </c>
    </row>
    <row r="396" spans="1:11" x14ac:dyDescent="0.25">
      <c r="A396" s="24">
        <f>Входы!$C$5*Входы!$C$6*Входы!$C$7</f>
        <v>222600</v>
      </c>
      <c r="B396" s="25">
        <v>1</v>
      </c>
      <c r="C396" s="25">
        <v>1</v>
      </c>
      <c r="D396" s="25">
        <v>0</v>
      </c>
      <c r="E396" s="19">
        <v>1</v>
      </c>
      <c r="F396" s="8">
        <f>A396*B396*C396*(1-D396)*(1-Входы!$C$73)*E396*12</f>
        <v>2457504</v>
      </c>
      <c r="G396" s="8">
        <f>(Входы!$C$67-Входы!$C$68)*Входы!$C$8/Входы!$C$9*E396*12</f>
        <v>28039.00075001442</v>
      </c>
      <c r="H396" s="8">
        <f>Входы!$C$5*Входы!$C$71*B396*C396*(1-D396)*E396*12</f>
        <v>60000</v>
      </c>
      <c r="I396" s="8">
        <f t="shared" si="12"/>
        <v>2545543.0007500146</v>
      </c>
      <c r="J396" s="8">
        <f>I396-Входы!$C$75*12-Входы!$C$77-Входы!$C$78-Входы!$C$79*Входы!$C$8/Входы!$C$9</f>
        <v>2134312.1116944556</v>
      </c>
      <c r="K396" s="24" t="str">
        <f t="shared" si="13"/>
        <v>Нет</v>
      </c>
    </row>
    <row r="397" spans="1:11" x14ac:dyDescent="0.25">
      <c r="A397" s="24">
        <f>Входы!$C$5*Входы!$C$6*Входы!$C$7</f>
        <v>222600</v>
      </c>
      <c r="B397" s="25">
        <v>1</v>
      </c>
      <c r="C397" s="25">
        <v>1</v>
      </c>
      <c r="D397" s="25">
        <v>0</v>
      </c>
      <c r="E397" s="19">
        <v>2</v>
      </c>
      <c r="F397" s="8">
        <f>A397*B397*C397*(1-D397)*(1-Входы!$C$73)*E397*12</f>
        <v>4915008</v>
      </c>
      <c r="G397" s="8">
        <f>(Входы!$C$67-Входы!$C$68)*Входы!$C$8/Входы!$C$9*E397*12</f>
        <v>56078.00150002884</v>
      </c>
      <c r="H397" s="8">
        <f>Входы!$C$5*Входы!$C$71*B397*C397*(1-D397)*E397*12</f>
        <v>120000</v>
      </c>
      <c r="I397" s="8">
        <f t="shared" si="12"/>
        <v>5091086.0015000291</v>
      </c>
      <c r="J397" s="8">
        <f>I397-Входы!$C$75*12-Входы!$C$77-Входы!$C$78-Входы!$C$79*Входы!$C$8/Входы!$C$9</f>
        <v>4679855.1124444706</v>
      </c>
      <c r="K397" s="24" t="str">
        <f t="shared" si="13"/>
        <v>Нет</v>
      </c>
    </row>
    <row r="398" spans="1:11" x14ac:dyDescent="0.25">
      <c r="A398" s="24">
        <f>Входы!$C$5*Входы!$C$6*Входы!$C$7</f>
        <v>222600</v>
      </c>
      <c r="B398" s="25">
        <v>1</v>
      </c>
      <c r="C398" s="25">
        <v>1</v>
      </c>
      <c r="D398" s="25">
        <v>0</v>
      </c>
      <c r="E398" s="19">
        <v>3</v>
      </c>
      <c r="F398" s="8">
        <f>A398*B398*C398*(1-D398)*(1-Входы!$C$73)*E398*12</f>
        <v>7372512</v>
      </c>
      <c r="G398" s="8">
        <f>(Входы!$C$67-Входы!$C$68)*Входы!$C$8/Входы!$C$9*E398*12</f>
        <v>84117.002250043268</v>
      </c>
      <c r="H398" s="8">
        <f>Входы!$C$5*Входы!$C$71*B398*C398*(1-D398)*E398*12</f>
        <v>180000</v>
      </c>
      <c r="I398" s="8">
        <f t="shared" si="12"/>
        <v>7636629.0022500437</v>
      </c>
      <c r="J398" s="8">
        <f>I398-Входы!$C$75*12-Входы!$C$77-Входы!$C$78-Входы!$C$79*Входы!$C$8/Входы!$C$9</f>
        <v>7225398.1131944852</v>
      </c>
      <c r="K398" s="24" t="str">
        <f t="shared" si="13"/>
        <v>Нет</v>
      </c>
    </row>
    <row r="399" spans="1:11" x14ac:dyDescent="0.25">
      <c r="A399" s="24">
        <f>Входы!$C$5*Входы!$C$6*Входы!$C$7</f>
        <v>222600</v>
      </c>
      <c r="B399" s="25">
        <v>1</v>
      </c>
      <c r="C399" s="25">
        <v>1</v>
      </c>
      <c r="D399" s="25">
        <v>0</v>
      </c>
      <c r="E399" s="19">
        <v>4</v>
      </c>
      <c r="F399" s="8">
        <f>A399*B399*C399*(1-D399)*(1-Входы!$C$73)*E399*12</f>
        <v>9830016</v>
      </c>
      <c r="G399" s="8">
        <f>(Входы!$C$67-Входы!$C$68)*Входы!$C$8/Входы!$C$9*E399*12</f>
        <v>112156.00300005768</v>
      </c>
      <c r="H399" s="8">
        <f>Входы!$C$5*Входы!$C$71*B399*C399*(1-D399)*E399*12</f>
        <v>240000</v>
      </c>
      <c r="I399" s="8">
        <f t="shared" si="12"/>
        <v>10182172.003000058</v>
      </c>
      <c r="J399" s="8">
        <f>I399-Входы!$C$75*12-Входы!$C$77-Входы!$C$78-Входы!$C$79*Входы!$C$8/Входы!$C$9</f>
        <v>9770941.1139444988</v>
      </c>
      <c r="K399" s="24" t="str">
        <f t="shared" si="13"/>
        <v>Нет</v>
      </c>
    </row>
    <row r="400" spans="1:11" x14ac:dyDescent="0.25">
      <c r="A400" s="24">
        <f>Входы!$C$5*Входы!$C$6*Входы!$C$7</f>
        <v>222600</v>
      </c>
      <c r="B400" s="25">
        <v>1</v>
      </c>
      <c r="C400" s="25">
        <v>1</v>
      </c>
      <c r="D400" s="25">
        <v>0.8</v>
      </c>
      <c r="E400" s="19">
        <v>0</v>
      </c>
      <c r="F400" s="8">
        <f>A400*B400*C400*(1-D400)*(1-Входы!$C$73)*E400*12</f>
        <v>0</v>
      </c>
      <c r="G400" s="8">
        <f>(Входы!$C$67-Входы!$C$68)*Входы!$C$8/Входы!$C$9*E400*12</f>
        <v>0</v>
      </c>
      <c r="H400" s="8">
        <f>Входы!$C$5*Входы!$C$71*B400*C400*(1-D400)*E400*12</f>
        <v>0</v>
      </c>
      <c r="I400" s="8">
        <f t="shared" si="12"/>
        <v>0</v>
      </c>
      <c r="J400" s="8">
        <f>I400-Входы!$C$75*12-Входы!$C$77-Входы!$C$78-Входы!$C$79*Входы!$C$8/Входы!$C$9</f>
        <v>-411230.88905555877</v>
      </c>
      <c r="K400" s="24" t="str">
        <f t="shared" si="13"/>
        <v>Да</v>
      </c>
    </row>
    <row r="401" spans="1:11" x14ac:dyDescent="0.25">
      <c r="A401" s="24">
        <f>Входы!$C$5*Входы!$C$6*Входы!$C$7</f>
        <v>222600</v>
      </c>
      <c r="B401" s="25">
        <v>1</v>
      </c>
      <c r="C401" s="25">
        <v>1</v>
      </c>
      <c r="D401" s="25">
        <v>0.8</v>
      </c>
      <c r="E401" s="19">
        <v>1</v>
      </c>
      <c r="F401" s="8">
        <f>A401*B401*C401*(1-D401)*(1-Входы!$C$73)*E401*12</f>
        <v>491500.79999999993</v>
      </c>
      <c r="G401" s="8">
        <f>(Входы!$C$67-Входы!$C$68)*Входы!$C$8/Входы!$C$9*E401*12</f>
        <v>28039.00075001442</v>
      </c>
      <c r="H401" s="8">
        <f>Входы!$C$5*Входы!$C$71*B401*C401*(1-D401)*E401*12</f>
        <v>11999.999999999996</v>
      </c>
      <c r="I401" s="8">
        <f t="shared" si="12"/>
        <v>531539.80075001437</v>
      </c>
      <c r="J401" s="8">
        <f>I401-Входы!$C$75*12-Входы!$C$77-Входы!$C$78-Входы!$C$79*Входы!$C$8/Входы!$C$9</f>
        <v>120308.91169445562</v>
      </c>
      <c r="K401" s="24" t="str">
        <f t="shared" si="13"/>
        <v>Нет</v>
      </c>
    </row>
    <row r="402" spans="1:11" x14ac:dyDescent="0.25">
      <c r="A402" s="24">
        <f>Входы!$C$5*Входы!$C$6*Входы!$C$7</f>
        <v>222600</v>
      </c>
      <c r="B402" s="25">
        <v>1</v>
      </c>
      <c r="C402" s="25">
        <v>1</v>
      </c>
      <c r="D402" s="25">
        <v>0.8</v>
      </c>
      <c r="E402" s="19">
        <v>2</v>
      </c>
      <c r="F402" s="8">
        <f>A402*B402*C402*(1-D402)*(1-Входы!$C$73)*E402*12</f>
        <v>983001.59999999986</v>
      </c>
      <c r="G402" s="8">
        <f>(Входы!$C$67-Входы!$C$68)*Входы!$C$8/Входы!$C$9*E402*12</f>
        <v>56078.00150002884</v>
      </c>
      <c r="H402" s="8">
        <f>Входы!$C$5*Входы!$C$71*B402*C402*(1-D402)*E402*12</f>
        <v>23999.999999999993</v>
      </c>
      <c r="I402" s="8">
        <f t="shared" si="12"/>
        <v>1063079.6015000287</v>
      </c>
      <c r="J402" s="8">
        <f>I402-Входы!$C$75*12-Входы!$C$77-Входы!$C$78-Входы!$C$79*Входы!$C$8/Входы!$C$9</f>
        <v>651848.71244447003</v>
      </c>
      <c r="K402" s="24" t="str">
        <f t="shared" si="13"/>
        <v>Нет</v>
      </c>
    </row>
    <row r="403" spans="1:11" x14ac:dyDescent="0.25">
      <c r="A403" s="24">
        <f>Входы!$C$5*Входы!$C$6*Входы!$C$7</f>
        <v>222600</v>
      </c>
      <c r="B403" s="25">
        <v>1</v>
      </c>
      <c r="C403" s="25">
        <v>1</v>
      </c>
      <c r="D403" s="25">
        <v>0.8</v>
      </c>
      <c r="E403" s="19">
        <v>3</v>
      </c>
      <c r="F403" s="8">
        <f>A403*B403*C403*(1-D403)*(1-Входы!$C$73)*E403*12</f>
        <v>1474502.4</v>
      </c>
      <c r="G403" s="8">
        <f>(Входы!$C$67-Входы!$C$68)*Входы!$C$8/Входы!$C$9*E403*12</f>
        <v>84117.002250043268</v>
      </c>
      <c r="H403" s="8">
        <f>Входы!$C$5*Входы!$C$71*B403*C403*(1-D403)*E403*12</f>
        <v>35999.999999999985</v>
      </c>
      <c r="I403" s="8">
        <f t="shared" si="12"/>
        <v>1594619.4022500431</v>
      </c>
      <c r="J403" s="8">
        <f>I403-Входы!$C$75*12-Входы!$C$77-Входы!$C$78-Входы!$C$79*Входы!$C$8/Входы!$C$9</f>
        <v>1183388.5131944844</v>
      </c>
      <c r="K403" s="24" t="str">
        <f t="shared" si="13"/>
        <v>Нет</v>
      </c>
    </row>
    <row r="404" spans="1:11" x14ac:dyDescent="0.25">
      <c r="A404" s="24">
        <f>Входы!$C$5*Входы!$C$6*Входы!$C$7</f>
        <v>222600</v>
      </c>
      <c r="B404" s="25">
        <v>1</v>
      </c>
      <c r="C404" s="25">
        <v>1</v>
      </c>
      <c r="D404" s="25">
        <v>0.8</v>
      </c>
      <c r="E404" s="19">
        <v>4</v>
      </c>
      <c r="F404" s="8">
        <f>A404*B404*C404*(1-D404)*(1-Входы!$C$73)*E404*12</f>
        <v>1966003.1999999997</v>
      </c>
      <c r="G404" s="8">
        <f>(Входы!$C$67-Входы!$C$68)*Входы!$C$8/Входы!$C$9*E404*12</f>
        <v>112156.00300005768</v>
      </c>
      <c r="H404" s="8">
        <f>Входы!$C$5*Входы!$C$71*B404*C404*(1-D404)*E404*12</f>
        <v>47999.999999999985</v>
      </c>
      <c r="I404" s="8">
        <f t="shared" si="12"/>
        <v>2126159.2030000575</v>
      </c>
      <c r="J404" s="8">
        <f>I404-Входы!$C$75*12-Входы!$C$77-Входы!$C$78-Входы!$C$79*Входы!$C$8/Входы!$C$9</f>
        <v>1714928.3139444988</v>
      </c>
      <c r="K404" s="24" t="str">
        <f t="shared" si="13"/>
        <v>Нет</v>
      </c>
    </row>
    <row r="405" spans="1:11" x14ac:dyDescent="0.25">
      <c r="A405" s="24">
        <f>Входы!$C$5*Входы!$C$6*Входы!$C$7</f>
        <v>222600</v>
      </c>
      <c r="B405" s="25">
        <v>1</v>
      </c>
      <c r="C405" s="25">
        <v>1</v>
      </c>
      <c r="D405" s="25">
        <v>0.98</v>
      </c>
      <c r="E405" s="19">
        <v>0</v>
      </c>
      <c r="F405" s="8">
        <f>A405*B405*C405*(1-D405)*(1-Входы!$C$73)*E405*12</f>
        <v>0</v>
      </c>
      <c r="G405" s="8">
        <f>(Входы!$C$67-Входы!$C$68)*Входы!$C$8/Входы!$C$9*E405*12</f>
        <v>0</v>
      </c>
      <c r="H405" s="8">
        <f>Входы!$C$5*Входы!$C$71*B405*C405*(1-D405)*E405*12</f>
        <v>0</v>
      </c>
      <c r="I405" s="8">
        <f t="shared" si="12"/>
        <v>0</v>
      </c>
      <c r="J405" s="8">
        <f>I405-Входы!$C$75*12-Входы!$C$77-Входы!$C$78-Входы!$C$79*Входы!$C$8/Входы!$C$9</f>
        <v>-411230.88905555877</v>
      </c>
      <c r="K405" s="24" t="str">
        <f t="shared" si="13"/>
        <v>Да</v>
      </c>
    </row>
    <row r="406" spans="1:11" x14ac:dyDescent="0.25">
      <c r="A406" s="24">
        <f>Входы!$C$5*Входы!$C$6*Входы!$C$7</f>
        <v>222600</v>
      </c>
      <c r="B406" s="25">
        <v>1</v>
      </c>
      <c r="C406" s="25">
        <v>1</v>
      </c>
      <c r="D406" s="25">
        <v>0.98</v>
      </c>
      <c r="E406" s="19">
        <v>1</v>
      </c>
      <c r="F406" s="8">
        <f>A406*B406*C406*(1-D406)*(1-Входы!$C$73)*E406*12</f>
        <v>49150.080000000038</v>
      </c>
      <c r="G406" s="8">
        <f>(Входы!$C$67-Входы!$C$68)*Входы!$C$8/Входы!$C$9*E406*12</f>
        <v>28039.00075001442</v>
      </c>
      <c r="H406" s="8">
        <f>Входы!$C$5*Входы!$C$71*B406*C406*(1-D406)*E406*12</f>
        <v>1200.0000000000009</v>
      </c>
      <c r="I406" s="8">
        <f t="shared" si="12"/>
        <v>78389.080750014458</v>
      </c>
      <c r="J406" s="8">
        <f>I406-Входы!$C$75*12-Входы!$C$77-Входы!$C$78-Входы!$C$79*Входы!$C$8/Входы!$C$9</f>
        <v>-332841.80830554431</v>
      </c>
      <c r="K406" s="24" t="str">
        <f t="shared" si="13"/>
        <v>Да</v>
      </c>
    </row>
    <row r="407" spans="1:11" x14ac:dyDescent="0.25">
      <c r="A407" s="24">
        <f>Входы!$C$5*Входы!$C$6*Входы!$C$7</f>
        <v>222600</v>
      </c>
      <c r="B407" s="25">
        <v>1</v>
      </c>
      <c r="C407" s="25">
        <v>1</v>
      </c>
      <c r="D407" s="25">
        <v>0.98</v>
      </c>
      <c r="E407" s="19">
        <v>2</v>
      </c>
      <c r="F407" s="8">
        <f>A407*B407*C407*(1-D407)*(1-Входы!$C$73)*E407*12</f>
        <v>98300.160000000076</v>
      </c>
      <c r="G407" s="8">
        <f>(Входы!$C$67-Входы!$C$68)*Входы!$C$8/Входы!$C$9*E407*12</f>
        <v>56078.00150002884</v>
      </c>
      <c r="H407" s="8">
        <f>Входы!$C$5*Входы!$C$71*B407*C407*(1-D407)*E407*12</f>
        <v>2400.0000000000018</v>
      </c>
      <c r="I407" s="8">
        <f t="shared" si="12"/>
        <v>156778.16150002892</v>
      </c>
      <c r="J407" s="8">
        <f>I407-Входы!$C$75*12-Входы!$C$77-Входы!$C$78-Входы!$C$79*Входы!$C$8/Входы!$C$9</f>
        <v>-254452.72755552985</v>
      </c>
      <c r="K407" s="24" t="str">
        <f t="shared" si="13"/>
        <v>Да</v>
      </c>
    </row>
    <row r="408" spans="1:11" x14ac:dyDescent="0.25">
      <c r="A408" s="24">
        <f>Входы!$C$5*Входы!$C$6*Входы!$C$7</f>
        <v>222600</v>
      </c>
      <c r="B408" s="25">
        <v>1</v>
      </c>
      <c r="C408" s="25">
        <v>1</v>
      </c>
      <c r="D408" s="25">
        <v>0.98</v>
      </c>
      <c r="E408" s="19">
        <v>3</v>
      </c>
      <c r="F408" s="8">
        <f>A408*B408*C408*(1-D408)*(1-Входы!$C$73)*E408*12</f>
        <v>147450.24000000011</v>
      </c>
      <c r="G408" s="8">
        <f>(Входы!$C$67-Входы!$C$68)*Входы!$C$8/Входы!$C$9*E408*12</f>
        <v>84117.002250043268</v>
      </c>
      <c r="H408" s="8">
        <f>Входы!$C$5*Входы!$C$71*B408*C408*(1-D408)*E408*12</f>
        <v>3600.0000000000027</v>
      </c>
      <c r="I408" s="8">
        <f t="shared" si="12"/>
        <v>235167.24225004337</v>
      </c>
      <c r="J408" s="8">
        <f>I408-Входы!$C$75*12-Входы!$C$77-Входы!$C$78-Входы!$C$79*Входы!$C$8/Входы!$C$9</f>
        <v>-176063.6468055154</v>
      </c>
      <c r="K408" s="24" t="str">
        <f t="shared" si="13"/>
        <v>Да</v>
      </c>
    </row>
    <row r="409" spans="1:11" x14ac:dyDescent="0.25">
      <c r="A409" s="24">
        <f>Входы!$C$5*Входы!$C$6*Входы!$C$7</f>
        <v>222600</v>
      </c>
      <c r="B409" s="25">
        <v>1</v>
      </c>
      <c r="C409" s="25">
        <v>1</v>
      </c>
      <c r="D409" s="25">
        <v>0.98</v>
      </c>
      <c r="E409" s="19">
        <v>4</v>
      </c>
      <c r="F409" s="8">
        <f>A409*B409*C409*(1-D409)*(1-Входы!$C$73)*E409*12</f>
        <v>196600.32000000015</v>
      </c>
      <c r="G409" s="8">
        <f>(Входы!$C$67-Входы!$C$68)*Входы!$C$8/Входы!$C$9*E409*12</f>
        <v>112156.00300005768</v>
      </c>
      <c r="H409" s="8">
        <f>Входы!$C$5*Входы!$C$71*B409*C409*(1-D409)*E409*12</f>
        <v>4800.0000000000036</v>
      </c>
      <c r="I409" s="8">
        <f t="shared" si="12"/>
        <v>313556.32300005783</v>
      </c>
      <c r="J409" s="8">
        <f>I409-Входы!$C$75*12-Входы!$C$77-Входы!$C$78-Входы!$C$79*Входы!$C$8/Входы!$C$9</f>
        <v>-97674.566055500924</v>
      </c>
      <c r="K409" s="24" t="str">
        <f t="shared" si="13"/>
        <v>Да</v>
      </c>
    </row>
  </sheetData>
  <autoFilter ref="A4:K409" xr:uid="{00000000-0009-0000-0000-000006000000}"/>
  <mergeCells count="2">
    <mergeCell ref="A2:K2"/>
    <mergeCell ref="A1:K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Входы</vt:lpstr>
      <vt:lpstr>Клиент</vt:lpstr>
      <vt:lpstr>Проект</vt:lpstr>
      <vt:lpstr>Сценарии</vt:lpstr>
      <vt:lpstr>Этапы</vt:lpstr>
      <vt:lpstr>Помесячно</vt:lpstr>
      <vt:lpstr>Чувствительность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 решения</dc:title>
  <dc:creator>Команда 1818</dc:creator>
  <cp:lastModifiedBy>Команда 1818</cp:lastModifiedBy>
  <dcterms:created xsi:type="dcterms:W3CDTF">2026-10-22T02:49:23Z</dcterms:created>
  <dcterms:modified xsi:type="dcterms:W3CDTF">2026-10-22T02:50:11Z</dcterms:modified>
</cp:coreProperties>
</file>